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orldbankgroup-my.sharepoint.com/personal/mbhatti3_ifc_org/Documents/Desktop/IFC/Unshared/Karachi Hub Canal/Project Agreements/Final/October 2023/"/>
    </mc:Choice>
  </mc:AlternateContent>
  <xr:revisionPtr revIDLastSave="99" documentId="8_{3E31DED3-362B-48A2-9780-578A9AFA7405}" xr6:coauthVersionLast="47" xr6:coauthVersionMax="47" xr10:uidLastSave="{D666B098-DFE9-4F7D-AAD6-20B6AF6A4C45}"/>
  <bookViews>
    <workbookView xWindow="-110" yWindow="-110" windowWidth="19420" windowHeight="10420" xr2:uid="{3B1031C4-C8EF-4D18-B48B-0BABA9A78879}"/>
  </bookViews>
  <sheets>
    <sheet name="F2-A Projected Available NWO" sheetId="3" r:id="rId1"/>
    <sheet name="F2-B Cost Recovery Charges" sheetId="5" r:id="rId2"/>
    <sheet name="F2-C Electricity " sheetId="4" r:id="rId3"/>
    <sheet name="F2-D Availability Payment (AP)" sheetId="2" r:id="rId4"/>
    <sheet name="F2-E Output Payment (OP)" sheetId="7" r:id="rId5"/>
    <sheet name="F2-F Service Payment and NPV" sheetId="1" r:id="rId6"/>
    <sheet name="F2-G Termination Payments" sheetId="9" r:id="rId7"/>
    <sheet name="F2-I Sources &amp; Uses"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2" i="10" l="1"/>
  <c r="C81" i="10"/>
  <c r="R82" i="10"/>
  <c r="Q82" i="10"/>
  <c r="P82" i="10"/>
  <c r="O82" i="10"/>
  <c r="N82" i="10"/>
  <c r="M82" i="10"/>
  <c r="L82" i="10"/>
  <c r="K82" i="10"/>
  <c r="J82" i="10"/>
  <c r="I82" i="10"/>
  <c r="H82" i="10"/>
  <c r="G82" i="10"/>
  <c r="F82" i="10"/>
  <c r="E82" i="10"/>
  <c r="R81" i="10"/>
  <c r="Q81" i="10"/>
  <c r="P81" i="10"/>
  <c r="O81" i="10"/>
  <c r="N81" i="10"/>
  <c r="M81" i="10"/>
  <c r="L81" i="10"/>
  <c r="K81" i="10"/>
  <c r="J81" i="10"/>
  <c r="I81" i="10"/>
  <c r="H81" i="10"/>
  <c r="G81" i="10"/>
  <c r="F81" i="10"/>
  <c r="E81" i="10"/>
  <c r="D82" i="10"/>
  <c r="K55" i="9"/>
  <c r="K54" i="9"/>
  <c r="K53" i="9"/>
  <c r="K52" i="9"/>
  <c r="K51" i="9"/>
  <c r="K50" i="9"/>
  <c r="K49" i="9"/>
  <c r="K48" i="9"/>
  <c r="K47" i="9"/>
  <c r="K46" i="9"/>
  <c r="K45" i="9"/>
  <c r="K44" i="9"/>
  <c r="K43" i="9"/>
  <c r="K42" i="9"/>
  <c r="D81" i="10"/>
  <c r="K41" i="9"/>
  <c r="N42" i="9"/>
  <c r="N43" i="9"/>
  <c r="N44" i="9"/>
  <c r="N45" i="9"/>
  <c r="N46" i="9"/>
  <c r="N47" i="9"/>
  <c r="N48" i="9"/>
  <c r="N49" i="9"/>
  <c r="N50" i="9"/>
  <c r="N51" i="9"/>
  <c r="N52" i="9"/>
  <c r="N53" i="9"/>
  <c r="N54" i="9"/>
  <c r="N55" i="9"/>
  <c r="N41" i="9"/>
  <c r="L42" i="9"/>
  <c r="L43" i="9"/>
  <c r="L44" i="9"/>
  <c r="L45" i="9"/>
  <c r="L46" i="9"/>
  <c r="L47" i="9"/>
  <c r="L48" i="9"/>
  <c r="L49" i="9"/>
  <c r="L50" i="9"/>
  <c r="L51" i="9"/>
  <c r="L52" i="9"/>
  <c r="L53" i="9"/>
  <c r="L54" i="9"/>
  <c r="L55" i="9"/>
  <c r="L41" i="9"/>
  <c r="C27" i="10" l="1"/>
  <c r="C26" i="10"/>
  <c r="R13" i="4" l="1"/>
  <c r="J63" i="9"/>
  <c r="J64" i="9" s="1"/>
  <c r="J65" i="9" s="1"/>
  <c r="J66" i="9" s="1"/>
  <c r="J67" i="9" s="1"/>
  <c r="J68" i="9" s="1"/>
  <c r="J69" i="9" s="1"/>
  <c r="J70" i="9" s="1"/>
  <c r="J71" i="9" s="1"/>
  <c r="J72" i="9" s="1"/>
  <c r="J73" i="9" s="1"/>
  <c r="J74" i="9" s="1"/>
  <c r="J75" i="9" s="1"/>
  <c r="J76" i="9" s="1"/>
  <c r="E9" i="3"/>
  <c r="E10" i="3" s="1"/>
  <c r="D8" i="9"/>
  <c r="X10" i="5"/>
  <c r="X11" i="5"/>
  <c r="X12" i="5"/>
  <c r="X13" i="5"/>
  <c r="X14" i="5"/>
  <c r="X15" i="5"/>
  <c r="X16" i="5"/>
  <c r="X17" i="5"/>
  <c r="X18" i="5"/>
  <c r="X19" i="5"/>
  <c r="X20" i="5"/>
  <c r="X21" i="5"/>
  <c r="X22" i="5"/>
  <c r="X23" i="5"/>
  <c r="X24" i="5"/>
  <c r="X25" i="5"/>
  <c r="X9" i="5"/>
  <c r="K12" i="1"/>
  <c r="C84" i="10"/>
  <c r="D74" i="10"/>
  <c r="E74" i="10" s="1"/>
  <c r="F74" i="10" s="1"/>
  <c r="G74" i="10" s="1"/>
  <c r="H74" i="10" s="1"/>
  <c r="I74" i="10" s="1"/>
  <c r="J74" i="10" s="1"/>
  <c r="K74" i="10" s="1"/>
  <c r="L74" i="10" s="1"/>
  <c r="M74" i="10" s="1"/>
  <c r="N74" i="10" s="1"/>
  <c r="O74" i="10" s="1"/>
  <c r="P74" i="10" s="1"/>
  <c r="Q74" i="10" s="1"/>
  <c r="R74" i="10" s="1"/>
  <c r="C70" i="10"/>
  <c r="C69" i="10"/>
  <c r="C48" i="10"/>
  <c r="C54" i="10" s="1"/>
  <c r="C64" i="10" s="1"/>
  <c r="D9" i="9"/>
  <c r="L29" i="1"/>
  <c r="C17" i="10"/>
  <c r="F20" i="9"/>
  <c r="B25" i="9"/>
  <c r="B29" i="9" s="1"/>
  <c r="B33" i="9" s="1"/>
  <c r="B37" i="9" s="1"/>
  <c r="B41" i="9" s="1"/>
  <c r="B45" i="9" s="1"/>
  <c r="B49" i="9" s="1"/>
  <c r="B53" i="9" s="1"/>
  <c r="B57" i="9" s="1"/>
  <c r="B61" i="9" s="1"/>
  <c r="B65" i="9" s="1"/>
  <c r="B69" i="9" s="1"/>
  <c r="B73" i="9" s="1"/>
  <c r="B77" i="9" s="1"/>
  <c r="D12" i="1"/>
  <c r="D13" i="1" s="1"/>
  <c r="D14" i="1" s="1"/>
  <c r="D15" i="1" s="1"/>
  <c r="D16" i="1" s="1"/>
  <c r="D17" i="1" s="1"/>
  <c r="D18" i="1" s="1"/>
  <c r="D19" i="1" s="1"/>
  <c r="D20" i="1" s="1"/>
  <c r="D21" i="1" s="1"/>
  <c r="D22" i="1" s="1"/>
  <c r="D23" i="1" s="1"/>
  <c r="D24" i="1" s="1"/>
  <c r="D25" i="1" s="1"/>
  <c r="D26" i="1" s="1"/>
  <c r="D27" i="1" s="1"/>
  <c r="D11" i="7"/>
  <c r="D12" i="7" s="1"/>
  <c r="D13" i="7" s="1"/>
  <c r="D14" i="7" s="1"/>
  <c r="D15" i="7" s="1"/>
  <c r="D16" i="7" s="1"/>
  <c r="D17" i="7" s="1"/>
  <c r="D18" i="7" s="1"/>
  <c r="D19" i="7" s="1"/>
  <c r="D20" i="7" s="1"/>
  <c r="D21" i="7" s="1"/>
  <c r="D22" i="7" s="1"/>
  <c r="D23" i="7" s="1"/>
  <c r="D24" i="7" s="1"/>
  <c r="D25" i="7" s="1"/>
  <c r="D12" i="2"/>
  <c r="D13" i="2" s="1"/>
  <c r="D14" i="2" s="1"/>
  <c r="D15" i="2" s="1"/>
  <c r="D16" i="2" s="1"/>
  <c r="D17" i="2" s="1"/>
  <c r="D18" i="2" s="1"/>
  <c r="D19" i="2" s="1"/>
  <c r="D20" i="2" s="1"/>
  <c r="D21" i="2" s="1"/>
  <c r="D22" i="2" s="1"/>
  <c r="D23" i="2" s="1"/>
  <c r="D24" i="2" s="1"/>
  <c r="D25" i="2" s="1"/>
  <c r="D11" i="2"/>
  <c r="D11" i="4"/>
  <c r="D12" i="4" s="1"/>
  <c r="D13" i="4" s="1"/>
  <c r="D14" i="4" s="1"/>
  <c r="D15" i="4" s="1"/>
  <c r="D16" i="4" s="1"/>
  <c r="D17" i="4" s="1"/>
  <c r="D18" i="4" s="1"/>
  <c r="D19" i="4" s="1"/>
  <c r="D20" i="4" s="1"/>
  <c r="D21" i="4" s="1"/>
  <c r="D22" i="4" s="1"/>
  <c r="D23" i="4" s="1"/>
  <c r="D24" i="4" s="1"/>
  <c r="D25" i="4" s="1"/>
  <c r="D11" i="3"/>
  <c r="D12" i="3" s="1"/>
  <c r="D13" i="3" s="1"/>
  <c r="D14" i="3" s="1"/>
  <c r="D15" i="3" s="1"/>
  <c r="D16" i="3" s="1"/>
  <c r="D17" i="3" s="1"/>
  <c r="D18" i="3" s="1"/>
  <c r="D19" i="3" s="1"/>
  <c r="D20" i="3" s="1"/>
  <c r="D21" i="3" s="1"/>
  <c r="D22" i="3" s="1"/>
  <c r="D23" i="3" s="1"/>
  <c r="D24" i="3" s="1"/>
  <c r="D25" i="3" s="1"/>
  <c r="D11" i="5"/>
  <c r="D12" i="5" s="1"/>
  <c r="D13" i="5" s="1"/>
  <c r="D14" i="5" s="1"/>
  <c r="D15" i="5" s="1"/>
  <c r="D16" i="5" s="1"/>
  <c r="D17" i="5" s="1"/>
  <c r="D18" i="5" s="1"/>
  <c r="D19" i="5" s="1"/>
  <c r="D20" i="5" s="1"/>
  <c r="D21" i="5" s="1"/>
  <c r="D22" i="5" s="1"/>
  <c r="D23" i="5" s="1"/>
  <c r="D24" i="5" s="1"/>
  <c r="D25" i="5" s="1"/>
  <c r="R10" i="5"/>
  <c r="R9" i="5"/>
  <c r="D20" i="9"/>
  <c r="J40" i="9"/>
  <c r="J41" i="9" s="1"/>
  <c r="J42" i="9" s="1"/>
  <c r="J43" i="9" s="1"/>
  <c r="J44" i="9" s="1"/>
  <c r="J45" i="9" s="1"/>
  <c r="J46" i="9" s="1"/>
  <c r="J47" i="9" s="1"/>
  <c r="J48" i="9" s="1"/>
  <c r="J49" i="9" s="1"/>
  <c r="J50" i="9" s="1"/>
  <c r="J51" i="9" s="1"/>
  <c r="J52" i="9" s="1"/>
  <c r="J53" i="9" s="1"/>
  <c r="J54" i="9" s="1"/>
  <c r="J55" i="9" s="1"/>
  <c r="J20" i="9"/>
  <c r="J21" i="9" s="1"/>
  <c r="J22" i="9" s="1"/>
  <c r="J23" i="9" s="1"/>
  <c r="J24" i="9" s="1"/>
  <c r="J25" i="9" s="1"/>
  <c r="J26" i="9" s="1"/>
  <c r="J27" i="9" s="1"/>
  <c r="J28" i="9" s="1"/>
  <c r="J29" i="9" s="1"/>
  <c r="J30" i="9" s="1"/>
  <c r="J31" i="9" s="1"/>
  <c r="J32" i="9" s="1"/>
  <c r="J33" i="9" s="1"/>
  <c r="J34" i="9" s="1"/>
  <c r="G12" i="7"/>
  <c r="G13" i="7" s="1"/>
  <c r="G14" i="7" s="1"/>
  <c r="G15" i="7" s="1"/>
  <c r="G16" i="7" s="1"/>
  <c r="G17" i="7" s="1"/>
  <c r="G18" i="7" s="1"/>
  <c r="G19" i="7" s="1"/>
  <c r="G20" i="7" s="1"/>
  <c r="G21" i="7" s="1"/>
  <c r="G22" i="7" s="1"/>
  <c r="G23" i="7" s="1"/>
  <c r="G24" i="7" s="1"/>
  <c r="G25" i="7" s="1"/>
  <c r="S9" i="5"/>
  <c r="S10" i="5"/>
  <c r="T9" i="5"/>
  <c r="T10" i="5"/>
  <c r="H9" i="3" l="1"/>
  <c r="H10" i="3" s="1"/>
  <c r="I9" i="3"/>
  <c r="I10" i="3" s="1"/>
  <c r="E11" i="3"/>
  <c r="J9" i="3"/>
  <c r="J10" i="3" s="1"/>
  <c r="D10" i="9"/>
  <c r="M32" i="9"/>
  <c r="M25" i="9"/>
  <c r="M33" i="9"/>
  <c r="K34" i="9"/>
  <c r="K30" i="9"/>
  <c r="K33" i="9"/>
  <c r="K32" i="9"/>
  <c r="K31" i="9"/>
  <c r="K29" i="9"/>
  <c r="K28" i="9"/>
  <c r="K27" i="9"/>
  <c r="K26" i="9"/>
  <c r="K25" i="9"/>
  <c r="K24" i="9"/>
  <c r="M34" i="9"/>
  <c r="M31" i="9"/>
  <c r="M30" i="9"/>
  <c r="M29" i="9"/>
  <c r="M28" i="9"/>
  <c r="M27" i="9"/>
  <c r="M26" i="9"/>
  <c r="M24" i="9"/>
  <c r="B12" i="3"/>
  <c r="B13" i="3" s="1"/>
  <c r="B14" i="3" s="1"/>
  <c r="B15" i="3" s="1"/>
  <c r="B16" i="3" s="1"/>
  <c r="B17" i="3" s="1"/>
  <c r="B18" i="3" s="1"/>
  <c r="B19" i="3" s="1"/>
  <c r="B20" i="3" s="1"/>
  <c r="B21" i="3" s="1"/>
  <c r="B22" i="3" s="1"/>
  <c r="B23" i="3" s="1"/>
  <c r="B24" i="3" s="1"/>
  <c r="B25" i="3" s="1"/>
  <c r="B12" i="4"/>
  <c r="B13" i="4" s="1"/>
  <c r="B14" i="4" s="1"/>
  <c r="B15" i="4" s="1"/>
  <c r="B16" i="4" s="1"/>
  <c r="B17" i="4" s="1"/>
  <c r="B18" i="4" s="1"/>
  <c r="B19" i="4" s="1"/>
  <c r="B20" i="4" s="1"/>
  <c r="B21" i="4" s="1"/>
  <c r="B22" i="4" s="1"/>
  <c r="B23" i="4" s="1"/>
  <c r="B24" i="4" s="1"/>
  <c r="B25" i="4" s="1"/>
  <c r="B12" i="2"/>
  <c r="B13" i="2" s="1"/>
  <c r="B14" i="2" s="1"/>
  <c r="B15" i="2" s="1"/>
  <c r="B16" i="2" s="1"/>
  <c r="B17" i="2" s="1"/>
  <c r="B18" i="2" s="1"/>
  <c r="B19" i="2" s="1"/>
  <c r="B20" i="2" s="1"/>
  <c r="B21" i="2" s="1"/>
  <c r="B22" i="2" s="1"/>
  <c r="B23" i="2" s="1"/>
  <c r="B24" i="2" s="1"/>
  <c r="B25" i="2" s="1"/>
  <c r="B12" i="7"/>
  <c r="B13" i="7" s="1"/>
  <c r="B14" i="7" s="1"/>
  <c r="B15" i="7" s="1"/>
  <c r="B16" i="7" s="1"/>
  <c r="B17" i="7" s="1"/>
  <c r="B18" i="7" s="1"/>
  <c r="B19" i="7" s="1"/>
  <c r="B20" i="7" s="1"/>
  <c r="B21" i="7" s="1"/>
  <c r="B22" i="7" s="1"/>
  <c r="B23" i="7" s="1"/>
  <c r="B24" i="7" s="1"/>
  <c r="B25" i="7" s="1"/>
  <c r="B13" i="1"/>
  <c r="B14" i="1" s="1"/>
  <c r="B15" i="1" s="1"/>
  <c r="B16" i="1" s="1"/>
  <c r="B17" i="1" s="1"/>
  <c r="B18" i="1" s="1"/>
  <c r="B19" i="1" s="1"/>
  <c r="B20" i="1" s="1"/>
  <c r="B21" i="1" s="1"/>
  <c r="B22" i="1" s="1"/>
  <c r="B23" i="1" s="1"/>
  <c r="B24" i="1" s="1"/>
  <c r="B25" i="1" s="1"/>
  <c r="B26" i="1" s="1"/>
  <c r="B27" i="1" s="1"/>
  <c r="K11" i="1"/>
  <c r="J10" i="7"/>
  <c r="J9" i="7"/>
  <c r="E13" i="1"/>
  <c r="E14" i="1" s="1"/>
  <c r="E15" i="1" s="1"/>
  <c r="E16" i="1" s="1"/>
  <c r="E17" i="1" s="1"/>
  <c r="E18" i="1" s="1"/>
  <c r="E19" i="1" s="1"/>
  <c r="E20" i="1" s="1"/>
  <c r="E21" i="1" s="1"/>
  <c r="E22" i="1" s="1"/>
  <c r="E23" i="1" s="1"/>
  <c r="E24" i="1" s="1"/>
  <c r="E25" i="1" s="1"/>
  <c r="E26" i="1" s="1"/>
  <c r="E27" i="1" s="1"/>
  <c r="K27" i="1" s="1"/>
  <c r="P10" i="5"/>
  <c r="Z10" i="5" s="1"/>
  <c r="P9" i="5"/>
  <c r="Z9" i="5" s="1"/>
  <c r="O9" i="5"/>
  <c r="W9" i="5" s="1"/>
  <c r="O10" i="5"/>
  <c r="W10" i="5" s="1"/>
  <c r="E11" i="5"/>
  <c r="E11" i="7"/>
  <c r="E12" i="7" s="1"/>
  <c r="E13" i="7" s="1"/>
  <c r="E14" i="7" s="1"/>
  <c r="E15" i="7" s="1"/>
  <c r="E16" i="7" s="1"/>
  <c r="E17" i="7" s="1"/>
  <c r="E18" i="7" s="1"/>
  <c r="E19" i="7" s="1"/>
  <c r="E20" i="7" s="1"/>
  <c r="E21" i="7" s="1"/>
  <c r="E22" i="7" s="1"/>
  <c r="E23" i="7" s="1"/>
  <c r="E24" i="7" s="1"/>
  <c r="E25" i="7" s="1"/>
  <c r="J25" i="7" s="1"/>
  <c r="I9" i="7"/>
  <c r="I10" i="7" s="1"/>
  <c r="I11" i="7" s="1"/>
  <c r="I12" i="7" s="1"/>
  <c r="I13" i="7" s="1"/>
  <c r="I14" i="7" s="1"/>
  <c r="I15" i="7" s="1"/>
  <c r="I16" i="7" s="1"/>
  <c r="I17" i="7" s="1"/>
  <c r="I18" i="7" s="1"/>
  <c r="I19" i="7" s="1"/>
  <c r="I20" i="7" s="1"/>
  <c r="I21" i="7" s="1"/>
  <c r="I22" i="7" s="1"/>
  <c r="I23" i="7" s="1"/>
  <c r="I24" i="7" s="1"/>
  <c r="I25" i="7" s="1"/>
  <c r="G10" i="7"/>
  <c r="V10" i="5"/>
  <c r="U10" i="5"/>
  <c r="V9" i="5"/>
  <c r="U9" i="5"/>
  <c r="R25" i="4"/>
  <c r="R24" i="4"/>
  <c r="R23" i="4"/>
  <c r="R22" i="4"/>
  <c r="R21" i="4"/>
  <c r="R20" i="4"/>
  <c r="R19" i="4"/>
  <c r="R18" i="4"/>
  <c r="R17" i="4"/>
  <c r="R16" i="4"/>
  <c r="R15" i="4"/>
  <c r="R14" i="4"/>
  <c r="R12" i="4"/>
  <c r="R11" i="4"/>
  <c r="E6" i="2"/>
  <c r="E7" i="2"/>
  <c r="E4" i="2"/>
  <c r="J12" i="7" l="1"/>
  <c r="J13" i="7"/>
  <c r="J17" i="7"/>
  <c r="J14" i="7"/>
  <c r="J11" i="7"/>
  <c r="B12" i="5"/>
  <c r="R11" i="5"/>
  <c r="E12" i="5"/>
  <c r="P11" i="5"/>
  <c r="Z11" i="5" s="1"/>
  <c r="O11" i="5"/>
  <c r="J15" i="7"/>
  <c r="J23" i="7"/>
  <c r="J16" i="7"/>
  <c r="J24" i="7"/>
  <c r="J18" i="7"/>
  <c r="J19" i="7"/>
  <c r="J20" i="7"/>
  <c r="J21" i="7"/>
  <c r="J22" i="7"/>
  <c r="K26" i="1"/>
  <c r="K22" i="1"/>
  <c r="K18" i="1"/>
  <c r="K14" i="1"/>
  <c r="K25" i="1"/>
  <c r="K21" i="1"/>
  <c r="K17" i="1"/>
  <c r="K13" i="1"/>
  <c r="K24" i="1"/>
  <c r="K20" i="1"/>
  <c r="K16" i="1"/>
  <c r="K23" i="1"/>
  <c r="K19" i="1"/>
  <c r="K15" i="1"/>
  <c r="Y9" i="5"/>
  <c r="Y10" i="5"/>
  <c r="W11" i="5" l="1"/>
  <c r="S11" i="5"/>
  <c r="T11" i="5"/>
  <c r="B13" i="5"/>
  <c r="R12" i="5"/>
  <c r="E13" i="5"/>
  <c r="P12" i="5"/>
  <c r="Z12" i="5" s="1"/>
  <c r="O12" i="5"/>
  <c r="E12" i="3"/>
  <c r="G9" i="3"/>
  <c r="F9" i="3"/>
  <c r="W12" i="5" l="1"/>
  <c r="S12" i="5"/>
  <c r="T12" i="5"/>
  <c r="F10" i="3"/>
  <c r="F11" i="3"/>
  <c r="F12" i="3" s="1"/>
  <c r="F13" i="3" s="1"/>
  <c r="F14" i="3" s="1"/>
  <c r="F15" i="3" s="1"/>
  <c r="F16" i="3" s="1"/>
  <c r="F17" i="3" s="1"/>
  <c r="F18" i="3" s="1"/>
  <c r="F19" i="3" s="1"/>
  <c r="F20" i="3" s="1"/>
  <c r="F21" i="3" s="1"/>
  <c r="F22" i="3" s="1"/>
  <c r="F23" i="3" s="1"/>
  <c r="F24" i="3" s="1"/>
  <c r="F25" i="3" s="1"/>
  <c r="G10" i="3"/>
  <c r="G11" i="3"/>
  <c r="G12" i="3" s="1"/>
  <c r="G13" i="3" s="1"/>
  <c r="G14" i="3" s="1"/>
  <c r="G15" i="3" s="1"/>
  <c r="G16" i="3" s="1"/>
  <c r="G17" i="3" s="1"/>
  <c r="G18" i="3" s="1"/>
  <c r="G19" i="3" s="1"/>
  <c r="G20" i="3" s="1"/>
  <c r="G21" i="3" s="1"/>
  <c r="G22" i="3" s="1"/>
  <c r="G23" i="3" s="1"/>
  <c r="G24" i="3" s="1"/>
  <c r="G25" i="3" s="1"/>
  <c r="B14" i="5"/>
  <c r="R13" i="5"/>
  <c r="E14" i="5"/>
  <c r="O13" i="5"/>
  <c r="P13" i="5"/>
  <c r="Z13" i="5" s="1"/>
  <c r="K11" i="3"/>
  <c r="K9" i="3"/>
  <c r="L9" i="3" s="1"/>
  <c r="K17" i="3"/>
  <c r="E13" i="3"/>
  <c r="L11" i="3" l="1"/>
  <c r="F11" i="7" s="1"/>
  <c r="H11" i="7" s="1"/>
  <c r="W13" i="5"/>
  <c r="S13" i="5"/>
  <c r="T13" i="5"/>
  <c r="B15" i="5"/>
  <c r="R14" i="5"/>
  <c r="E15" i="5"/>
  <c r="P14" i="5"/>
  <c r="Z14" i="5" s="1"/>
  <c r="O14" i="5"/>
  <c r="Y12" i="5"/>
  <c r="Y11" i="5"/>
  <c r="Y13" i="5"/>
  <c r="U11" i="5"/>
  <c r="V11" i="5"/>
  <c r="U12" i="5"/>
  <c r="V12" i="5"/>
  <c r="U13" i="5"/>
  <c r="V13" i="5"/>
  <c r="U14" i="5"/>
  <c r="U15" i="5"/>
  <c r="V14" i="5"/>
  <c r="U16" i="5"/>
  <c r="V15" i="5"/>
  <c r="U17" i="5"/>
  <c r="V16" i="5"/>
  <c r="U18" i="5"/>
  <c r="V17" i="5"/>
  <c r="V18" i="5"/>
  <c r="U19" i="5"/>
  <c r="V19" i="5"/>
  <c r="U20" i="5"/>
  <c r="F9" i="7"/>
  <c r="H9" i="7" s="1"/>
  <c r="E9" i="2"/>
  <c r="K25" i="3"/>
  <c r="K14" i="3"/>
  <c r="K16" i="3"/>
  <c r="K22" i="3"/>
  <c r="K10" i="3"/>
  <c r="L10" i="3" s="1"/>
  <c r="K21" i="3"/>
  <c r="K12" i="3"/>
  <c r="L12" i="3" s="1"/>
  <c r="K18" i="3"/>
  <c r="K23" i="3"/>
  <c r="K19" i="3"/>
  <c r="K24" i="3"/>
  <c r="K15" i="3"/>
  <c r="K20" i="3"/>
  <c r="K13" i="3"/>
  <c r="L13" i="3" s="1"/>
  <c r="E14" i="3"/>
  <c r="E11" i="2" l="1"/>
  <c r="M11" i="2" s="1"/>
  <c r="D90" i="10" s="1"/>
  <c r="W14" i="5"/>
  <c r="S14" i="5"/>
  <c r="T14" i="5"/>
  <c r="B16" i="5"/>
  <c r="R15" i="5"/>
  <c r="Y14" i="5"/>
  <c r="E16" i="5"/>
  <c r="P15" i="5"/>
  <c r="O15" i="5"/>
  <c r="U21" i="5"/>
  <c r="V20" i="5"/>
  <c r="M11" i="7"/>
  <c r="I13" i="1" s="1"/>
  <c r="K11" i="7"/>
  <c r="M9" i="7"/>
  <c r="I11" i="1" s="1"/>
  <c r="K9" i="7"/>
  <c r="E13" i="2"/>
  <c r="M13" i="2" s="1"/>
  <c r="F13" i="7"/>
  <c r="H13" i="7" s="1"/>
  <c r="F10" i="7"/>
  <c r="H10" i="7" s="1"/>
  <c r="E10" i="2"/>
  <c r="E12" i="2"/>
  <c r="F12" i="7"/>
  <c r="H12" i="7" s="1"/>
  <c r="L14" i="3"/>
  <c r="E15" i="3"/>
  <c r="J11" i="2" l="1"/>
  <c r="F11" i="2"/>
  <c r="Q11" i="2"/>
  <c r="G13" i="1" s="1"/>
  <c r="N11" i="2"/>
  <c r="D91" i="10" s="1"/>
  <c r="G11" i="2"/>
  <c r="H11" i="2" s="1"/>
  <c r="I11" i="2"/>
  <c r="M12" i="2"/>
  <c r="E90" i="10" s="1"/>
  <c r="N12" i="2"/>
  <c r="N13" i="2"/>
  <c r="W15" i="5"/>
  <c r="T15" i="5"/>
  <c r="S15" i="5"/>
  <c r="B17" i="5"/>
  <c r="R16" i="5"/>
  <c r="Z15" i="5"/>
  <c r="Y15" i="5"/>
  <c r="E17" i="5"/>
  <c r="O16" i="5"/>
  <c r="P16" i="5"/>
  <c r="O11" i="2"/>
  <c r="L9" i="7"/>
  <c r="H11" i="1" s="1"/>
  <c r="L11" i="7"/>
  <c r="M12" i="7"/>
  <c r="I14" i="1" s="1"/>
  <c r="K12" i="7"/>
  <c r="M13" i="7"/>
  <c r="I15" i="1" s="1"/>
  <c r="K13" i="7"/>
  <c r="M10" i="7"/>
  <c r="I12" i="1" s="1"/>
  <c r="K10" i="7"/>
  <c r="E14" i="2"/>
  <c r="M14" i="2" s="1"/>
  <c r="F14" i="7"/>
  <c r="H14" i="7" s="1"/>
  <c r="G12" i="2"/>
  <c r="I12" i="2"/>
  <c r="J12" i="2"/>
  <c r="F12" i="2"/>
  <c r="Q12" i="2"/>
  <c r="G14" i="1" s="1"/>
  <c r="E91" i="10"/>
  <c r="F90" i="10"/>
  <c r="F91" i="10"/>
  <c r="G13" i="2"/>
  <c r="J13" i="2"/>
  <c r="F13" i="2"/>
  <c r="Q13" i="2"/>
  <c r="G15" i="1" s="1"/>
  <c r="I13" i="2"/>
  <c r="E16" i="3"/>
  <c r="L15" i="3"/>
  <c r="K11" i="2" l="1"/>
  <c r="L11" i="2" s="1"/>
  <c r="P11" i="2" s="1"/>
  <c r="N14" i="2"/>
  <c r="W16" i="5"/>
  <c r="S16" i="5"/>
  <c r="T16" i="5"/>
  <c r="L62" i="9"/>
  <c r="K62" i="9"/>
  <c r="D84" i="10"/>
  <c r="B18" i="5"/>
  <c r="R17" i="5"/>
  <c r="Z16" i="5"/>
  <c r="Y16" i="5"/>
  <c r="E18" i="5"/>
  <c r="O17" i="5"/>
  <c r="P17" i="5"/>
  <c r="H13" i="1"/>
  <c r="J11" i="1"/>
  <c r="L11" i="1" s="1"/>
  <c r="U22" i="5"/>
  <c r="V21" i="5"/>
  <c r="O13" i="2"/>
  <c r="H12" i="2"/>
  <c r="N11" i="7"/>
  <c r="N9" i="7"/>
  <c r="L10" i="7"/>
  <c r="H12" i="1" s="1"/>
  <c r="L12" i="7"/>
  <c r="L13" i="7"/>
  <c r="M14" i="7"/>
  <c r="I16" i="1" s="1"/>
  <c r="K14" i="7"/>
  <c r="K13" i="2"/>
  <c r="K12" i="2"/>
  <c r="I14" i="2"/>
  <c r="F14" i="2"/>
  <c r="G91" i="10"/>
  <c r="Q14" i="2"/>
  <c r="G16" i="1" s="1"/>
  <c r="G90" i="10"/>
  <c r="G14" i="2"/>
  <c r="J14" i="2"/>
  <c r="H13" i="2"/>
  <c r="O12" i="2"/>
  <c r="F15" i="7"/>
  <c r="H15" i="7" s="1"/>
  <c r="E15" i="2"/>
  <c r="M15" i="2" s="1"/>
  <c r="E17" i="3"/>
  <c r="L16" i="3"/>
  <c r="N15" i="2" l="1"/>
  <c r="H91" i="10" s="1"/>
  <c r="W17" i="5"/>
  <c r="T17" i="5"/>
  <c r="S17" i="5"/>
  <c r="L63" i="9"/>
  <c r="K63" i="9"/>
  <c r="L64" i="9"/>
  <c r="K64" i="9"/>
  <c r="E84" i="10"/>
  <c r="F84" i="10"/>
  <c r="B19" i="5"/>
  <c r="R18" i="5"/>
  <c r="Z17" i="5"/>
  <c r="Y17" i="5"/>
  <c r="E19" i="5"/>
  <c r="O18" i="5"/>
  <c r="P18" i="5"/>
  <c r="H14" i="1"/>
  <c r="H15" i="1"/>
  <c r="L12" i="2"/>
  <c r="P12" i="2" s="1"/>
  <c r="J12" i="1"/>
  <c r="L12" i="1" s="1"/>
  <c r="N12" i="7"/>
  <c r="N13" i="7"/>
  <c r="L14" i="7"/>
  <c r="N10" i="7"/>
  <c r="L13" i="2"/>
  <c r="P13" i="2" s="1"/>
  <c r="R11" i="2"/>
  <c r="F13" i="1"/>
  <c r="M15" i="7"/>
  <c r="I17" i="1" s="1"/>
  <c r="K15" i="7"/>
  <c r="H14" i="2"/>
  <c r="O14" i="2"/>
  <c r="K14" i="2"/>
  <c r="E16" i="2"/>
  <c r="M16" i="2" s="1"/>
  <c r="F16" i="7"/>
  <c r="H16" i="7" s="1"/>
  <c r="H90" i="10"/>
  <c r="G15" i="2"/>
  <c r="I15" i="2"/>
  <c r="F15" i="2"/>
  <c r="M45" i="9" s="1"/>
  <c r="J15" i="2"/>
  <c r="Q15" i="2"/>
  <c r="G17" i="1" s="1"/>
  <c r="L17" i="3"/>
  <c r="E18" i="3"/>
  <c r="N17" i="2" l="1"/>
  <c r="N16" i="2"/>
  <c r="I91" i="10" s="1"/>
  <c r="W18" i="5"/>
  <c r="S18" i="5"/>
  <c r="T18" i="5"/>
  <c r="L65" i="9"/>
  <c r="K65" i="9"/>
  <c r="G84" i="10"/>
  <c r="C75" i="10"/>
  <c r="C86" i="10" s="1"/>
  <c r="B20" i="5"/>
  <c r="R19" i="5"/>
  <c r="Z18" i="5"/>
  <c r="Y18" i="5"/>
  <c r="E20" i="5"/>
  <c r="P19" i="5"/>
  <c r="O19" i="5"/>
  <c r="H16" i="1"/>
  <c r="M20" i="9"/>
  <c r="J13" i="1"/>
  <c r="L13" i="1" s="1"/>
  <c r="U23" i="5"/>
  <c r="V22" i="5"/>
  <c r="N14" i="7"/>
  <c r="L15" i="7"/>
  <c r="R12" i="2"/>
  <c r="F14" i="1"/>
  <c r="R13" i="2"/>
  <c r="F15" i="1"/>
  <c r="M16" i="7"/>
  <c r="I18" i="1" s="1"/>
  <c r="K16" i="7"/>
  <c r="H15" i="2"/>
  <c r="L14" i="2"/>
  <c r="P14" i="2" s="1"/>
  <c r="K20" i="9" s="1"/>
  <c r="E17" i="2"/>
  <c r="M17" i="2" s="1"/>
  <c r="F17" i="7"/>
  <c r="H17" i="7" s="1"/>
  <c r="K15" i="2"/>
  <c r="O15" i="2"/>
  <c r="G16" i="2"/>
  <c r="I16" i="2"/>
  <c r="F16" i="2"/>
  <c r="M46" i="9" s="1"/>
  <c r="I90" i="10"/>
  <c r="J16" i="2"/>
  <c r="Q16" i="2"/>
  <c r="G18" i="1" s="1"/>
  <c r="E19" i="3"/>
  <c r="L18" i="3"/>
  <c r="W19" i="5" l="1"/>
  <c r="S19" i="5"/>
  <c r="T19" i="5"/>
  <c r="L66" i="9"/>
  <c r="K66" i="9"/>
  <c r="H84" i="10"/>
  <c r="D75" i="10"/>
  <c r="D86" i="10" s="1"/>
  <c r="B21" i="5"/>
  <c r="R20" i="5"/>
  <c r="Z19" i="5"/>
  <c r="Y19" i="5"/>
  <c r="E21" i="5"/>
  <c r="P20" i="5"/>
  <c r="O20" i="5"/>
  <c r="H17" i="1"/>
  <c r="M41" i="9"/>
  <c r="J15" i="1"/>
  <c r="L15" i="1" s="1"/>
  <c r="J14" i="1"/>
  <c r="L14" i="1" s="1"/>
  <c r="L15" i="2"/>
  <c r="P15" i="2" s="1"/>
  <c r="N15" i="7"/>
  <c r="L16" i="7"/>
  <c r="R14" i="2"/>
  <c r="F16" i="1"/>
  <c r="O16" i="2"/>
  <c r="M17" i="7"/>
  <c r="I19" i="1" s="1"/>
  <c r="K17" i="7"/>
  <c r="F18" i="7"/>
  <c r="H18" i="7" s="1"/>
  <c r="E18" i="2"/>
  <c r="M18" i="2" s="1"/>
  <c r="J90" i="10"/>
  <c r="I17" i="2"/>
  <c r="J91" i="10"/>
  <c r="F17" i="2"/>
  <c r="M47" i="9" s="1"/>
  <c r="J17" i="2"/>
  <c r="G17" i="2"/>
  <c r="Q17" i="2"/>
  <c r="G19" i="1" s="1"/>
  <c r="H16" i="2"/>
  <c r="K16" i="2"/>
  <c r="E20" i="3"/>
  <c r="L19" i="3"/>
  <c r="N18" i="2" l="1"/>
  <c r="K91" i="10" s="1"/>
  <c r="W20" i="5"/>
  <c r="S20" i="5"/>
  <c r="T20" i="5"/>
  <c r="L67" i="9"/>
  <c r="K67" i="9"/>
  <c r="I84" i="10"/>
  <c r="E75" i="10"/>
  <c r="E86" i="10" s="1"/>
  <c r="F75" i="10"/>
  <c r="F86" i="10" s="1"/>
  <c r="B22" i="5"/>
  <c r="R21" i="5"/>
  <c r="Z20" i="5"/>
  <c r="Y20" i="5"/>
  <c r="E22" i="5"/>
  <c r="O21" i="5"/>
  <c r="P21" i="5"/>
  <c r="H18" i="1"/>
  <c r="N16" i="7"/>
  <c r="J16" i="1"/>
  <c r="L16" i="1" s="1"/>
  <c r="U24" i="5"/>
  <c r="V23" i="5"/>
  <c r="L17" i="7"/>
  <c r="R15" i="2"/>
  <c r="F17" i="1"/>
  <c r="M18" i="7"/>
  <c r="I20" i="1" s="1"/>
  <c r="K18" i="7"/>
  <c r="H17" i="2"/>
  <c r="O17" i="2"/>
  <c r="L16" i="2"/>
  <c r="K17" i="2"/>
  <c r="I18" i="2"/>
  <c r="G18" i="2"/>
  <c r="J18" i="2"/>
  <c r="K90" i="10"/>
  <c r="F18" i="2"/>
  <c r="M48" i="9" s="1"/>
  <c r="Q18" i="2"/>
  <c r="G20" i="1" s="1"/>
  <c r="F19" i="7"/>
  <c r="H19" i="7" s="1"/>
  <c r="E19" i="2"/>
  <c r="M19" i="2" s="1"/>
  <c r="L20" i="3"/>
  <c r="E21" i="3"/>
  <c r="N19" i="2" l="1"/>
  <c r="L91" i="10" s="1"/>
  <c r="W21" i="5"/>
  <c r="S21" i="5"/>
  <c r="T21" i="5"/>
  <c r="L68" i="9"/>
  <c r="K68" i="9"/>
  <c r="J84" i="10"/>
  <c r="G75" i="10"/>
  <c r="G86" i="10" s="1"/>
  <c r="B23" i="5"/>
  <c r="R22" i="5"/>
  <c r="E23" i="5"/>
  <c r="O22" i="5"/>
  <c r="P22" i="5"/>
  <c r="Z21" i="5"/>
  <c r="Y21" i="5"/>
  <c r="H19" i="1"/>
  <c r="N17" i="7"/>
  <c r="J17" i="1"/>
  <c r="L17" i="1" s="1"/>
  <c r="H18" i="2"/>
  <c r="L17" i="2"/>
  <c r="P17" i="2" s="1"/>
  <c r="L18" i="7"/>
  <c r="P16" i="2"/>
  <c r="M19" i="7"/>
  <c r="I21" i="1" s="1"/>
  <c r="K19" i="7"/>
  <c r="O18" i="2"/>
  <c r="F20" i="7"/>
  <c r="H20" i="7" s="1"/>
  <c r="E20" i="2"/>
  <c r="M20" i="2" s="1"/>
  <c r="L90" i="10"/>
  <c r="Q19" i="2"/>
  <c r="G21" i="1" s="1"/>
  <c r="F19" i="2"/>
  <c r="M49" i="9" s="1"/>
  <c r="G19" i="2"/>
  <c r="I19" i="2"/>
  <c r="J19" i="2"/>
  <c r="K18" i="2"/>
  <c r="E22" i="3"/>
  <c r="L21" i="3"/>
  <c r="N20" i="2" l="1"/>
  <c r="W22" i="5"/>
  <c r="S22" i="5"/>
  <c r="T22" i="5"/>
  <c r="L69" i="9"/>
  <c r="K69" i="9"/>
  <c r="K84" i="10"/>
  <c r="H75" i="10"/>
  <c r="H86" i="10" s="1"/>
  <c r="B24" i="5"/>
  <c r="R23" i="5"/>
  <c r="Z22" i="5"/>
  <c r="Y22" i="5"/>
  <c r="E24" i="5"/>
  <c r="P23" i="5"/>
  <c r="O23" i="5"/>
  <c r="H20" i="1"/>
  <c r="U25" i="5"/>
  <c r="V24" i="5"/>
  <c r="L18" i="2"/>
  <c r="P18" i="2" s="1"/>
  <c r="N18" i="7"/>
  <c r="L19" i="7"/>
  <c r="K19" i="2"/>
  <c r="R16" i="2"/>
  <c r="F18" i="1"/>
  <c r="R17" i="2"/>
  <c r="F19" i="1"/>
  <c r="M20" i="7"/>
  <c r="I22" i="1" s="1"/>
  <c r="K20" i="7"/>
  <c r="F21" i="7"/>
  <c r="H21" i="7" s="1"/>
  <c r="E21" i="2"/>
  <c r="G20" i="2"/>
  <c r="J20" i="2"/>
  <c r="M90" i="10"/>
  <c r="Q20" i="2"/>
  <c r="G22" i="1" s="1"/>
  <c r="I20" i="2"/>
  <c r="F20" i="2"/>
  <c r="M50" i="9" s="1"/>
  <c r="M91" i="10"/>
  <c r="H19" i="2"/>
  <c r="O19" i="2"/>
  <c r="L22" i="3"/>
  <c r="E23" i="3"/>
  <c r="W23" i="5" l="1"/>
  <c r="T23" i="5"/>
  <c r="S23" i="5"/>
  <c r="L70" i="9"/>
  <c r="K70" i="9"/>
  <c r="L84" i="10"/>
  <c r="B25" i="5"/>
  <c r="R25" i="5" s="1"/>
  <c r="R24" i="5"/>
  <c r="Z23" i="5"/>
  <c r="Y23" i="5"/>
  <c r="E25" i="5"/>
  <c r="P24" i="5"/>
  <c r="O24" i="5"/>
  <c r="H21" i="1"/>
  <c r="R18" i="2"/>
  <c r="K21" i="9"/>
  <c r="M21" i="9"/>
  <c r="J19" i="1"/>
  <c r="L19" i="1" s="1"/>
  <c r="J18" i="1"/>
  <c r="L18" i="1" s="1"/>
  <c r="N19" i="7"/>
  <c r="L19" i="2"/>
  <c r="P19" i="2" s="1"/>
  <c r="L20" i="7"/>
  <c r="F20" i="1"/>
  <c r="M21" i="7"/>
  <c r="I23" i="1" s="1"/>
  <c r="K21" i="7"/>
  <c r="K20" i="2"/>
  <c r="F22" i="7"/>
  <c r="H22" i="7" s="1"/>
  <c r="E22" i="2"/>
  <c r="O20" i="2"/>
  <c r="M21" i="2"/>
  <c r="N90" i="10" s="1"/>
  <c r="J21" i="2"/>
  <c r="I21" i="2"/>
  <c r="N21" i="2"/>
  <c r="Q21" i="2"/>
  <c r="G23" i="1" s="1"/>
  <c r="F21" i="2"/>
  <c r="M51" i="9" s="1"/>
  <c r="G21" i="2"/>
  <c r="H20" i="2"/>
  <c r="L23" i="3"/>
  <c r="E24" i="3"/>
  <c r="E25" i="3" s="1"/>
  <c r="W24" i="5" l="1"/>
  <c r="T24" i="5"/>
  <c r="S24" i="5"/>
  <c r="N91" i="10"/>
  <c r="L71" i="9"/>
  <c r="K71" i="9"/>
  <c r="M84" i="10"/>
  <c r="I75" i="10"/>
  <c r="I86" i="10" s="1"/>
  <c r="J75" i="10"/>
  <c r="J86" i="10" s="1"/>
  <c r="Z24" i="5"/>
  <c r="Y24" i="5"/>
  <c r="O25" i="5"/>
  <c r="P25" i="5"/>
  <c r="H22" i="1"/>
  <c r="M42" i="9"/>
  <c r="J20" i="1"/>
  <c r="L20" i="1" s="1"/>
  <c r="V25" i="5"/>
  <c r="N20" i="7"/>
  <c r="L21" i="7"/>
  <c r="L20" i="2"/>
  <c r="P20" i="2" s="1"/>
  <c r="R19" i="2"/>
  <c r="F21" i="1"/>
  <c r="K21" i="2"/>
  <c r="M22" i="7"/>
  <c r="I24" i="1" s="1"/>
  <c r="K22" i="7"/>
  <c r="O21" i="2"/>
  <c r="E23" i="2"/>
  <c r="F23" i="7"/>
  <c r="H23" i="7" s="1"/>
  <c r="H21" i="2"/>
  <c r="I22" i="2"/>
  <c r="F22" i="2"/>
  <c r="M52" i="9" s="1"/>
  <c r="G22" i="2"/>
  <c r="Q22" i="2"/>
  <c r="G24" i="1" s="1"/>
  <c r="M22" i="2"/>
  <c r="O90" i="10" s="1"/>
  <c r="J22" i="2"/>
  <c r="N22" i="2"/>
  <c r="L24" i="3"/>
  <c r="L25" i="3"/>
  <c r="W25" i="5" l="1"/>
  <c r="T25" i="5"/>
  <c r="S25" i="5"/>
  <c r="O91" i="10"/>
  <c r="N84" i="10"/>
  <c r="L72" i="9"/>
  <c r="K72" i="9"/>
  <c r="K75" i="10"/>
  <c r="K86" i="10" s="1"/>
  <c r="Z25" i="5"/>
  <c r="Y25" i="5"/>
  <c r="H23" i="1"/>
  <c r="J21" i="1"/>
  <c r="L21" i="1" s="1"/>
  <c r="N21" i="7"/>
  <c r="L21" i="2"/>
  <c r="P21" i="2" s="1"/>
  <c r="L22" i="7"/>
  <c r="R20" i="2"/>
  <c r="F22" i="1"/>
  <c r="M23" i="7"/>
  <c r="I25" i="1" s="1"/>
  <c r="K23" i="7"/>
  <c r="H22" i="2"/>
  <c r="O22" i="2"/>
  <c r="K22" i="2"/>
  <c r="M23" i="2"/>
  <c r="P90" i="10" s="1"/>
  <c r="Q23" i="2"/>
  <c r="G25" i="1" s="1"/>
  <c r="I23" i="2"/>
  <c r="N23" i="2"/>
  <c r="J23" i="2"/>
  <c r="F23" i="2"/>
  <c r="M53" i="9" s="1"/>
  <c r="G23" i="2"/>
  <c r="F24" i="7"/>
  <c r="H24" i="7" s="1"/>
  <c r="E24" i="2"/>
  <c r="E25" i="2"/>
  <c r="F25" i="7"/>
  <c r="H25" i="7" s="1"/>
  <c r="O84" i="10" l="1"/>
  <c r="L73" i="9"/>
  <c r="K73" i="9"/>
  <c r="P91" i="10"/>
  <c r="L75" i="10"/>
  <c r="L86" i="10" s="1"/>
  <c r="H24" i="1"/>
  <c r="M22" i="9"/>
  <c r="J22" i="1"/>
  <c r="L22" i="1" s="1"/>
  <c r="N22" i="7"/>
  <c r="L23" i="7"/>
  <c r="R21" i="2"/>
  <c r="F23" i="1"/>
  <c r="M25" i="7"/>
  <c r="I27" i="1" s="1"/>
  <c r="K25" i="7"/>
  <c r="M24" i="7"/>
  <c r="I26" i="1" s="1"/>
  <c r="K24" i="7"/>
  <c r="L22" i="2"/>
  <c r="O23" i="2"/>
  <c r="K74" i="9" s="1"/>
  <c r="M25" i="2"/>
  <c r="R90" i="10" s="1"/>
  <c r="Q25" i="2"/>
  <c r="G27" i="1" s="1"/>
  <c r="J25" i="2"/>
  <c r="N25" i="2"/>
  <c r="F25" i="2"/>
  <c r="M55" i="9" s="1"/>
  <c r="I25" i="2"/>
  <c r="G25" i="2"/>
  <c r="K23" i="2"/>
  <c r="G24" i="2"/>
  <c r="Q24" i="2"/>
  <c r="G26" i="1" s="1"/>
  <c r="J24" i="2"/>
  <c r="F24" i="2"/>
  <c r="M54" i="9" s="1"/>
  <c r="M24" i="2"/>
  <c r="Q90" i="10" s="1"/>
  <c r="I24" i="2"/>
  <c r="N24" i="2"/>
  <c r="H23" i="2"/>
  <c r="C93" i="10" l="1"/>
  <c r="R91" i="10"/>
  <c r="P84" i="10"/>
  <c r="L74" i="9"/>
  <c r="Q91" i="10"/>
  <c r="M75" i="10"/>
  <c r="M86" i="10" s="1"/>
  <c r="H25" i="1"/>
  <c r="M43" i="9"/>
  <c r="J23" i="1"/>
  <c r="L23" i="1" s="1"/>
  <c r="L23" i="2"/>
  <c r="P23" i="2" s="1"/>
  <c r="O25" i="2"/>
  <c r="L24" i="7"/>
  <c r="L25" i="7"/>
  <c r="N23" i="7"/>
  <c r="P22" i="2"/>
  <c r="K22" i="9" s="1"/>
  <c r="K24" i="2"/>
  <c r="H24" i="2"/>
  <c r="O24" i="2"/>
  <c r="K75" i="9" s="1"/>
  <c r="K25" i="2"/>
  <c r="H25" i="2"/>
  <c r="C94" i="10" l="1"/>
  <c r="R84" i="10"/>
  <c r="L76" i="9"/>
  <c r="Q84" i="10"/>
  <c r="L75" i="9"/>
  <c r="K76" i="9"/>
  <c r="N75" i="10"/>
  <c r="N86" i="10" s="1"/>
  <c r="N25" i="7"/>
  <c r="H26" i="1"/>
  <c r="L24" i="2"/>
  <c r="P24" i="2" s="1"/>
  <c r="N24" i="7"/>
  <c r="H27" i="1"/>
  <c r="R22" i="2"/>
  <c r="F24" i="1"/>
  <c r="R23" i="2"/>
  <c r="F25" i="1"/>
  <c r="L25" i="2"/>
  <c r="M23" i="9" l="1"/>
  <c r="N19" i="9" s="1"/>
  <c r="H20" i="9"/>
  <c r="H21" i="9" s="1"/>
  <c r="H22" i="9" s="1"/>
  <c r="F26" i="1"/>
  <c r="J26" i="1" s="1"/>
  <c r="L26" i="1" s="1"/>
  <c r="J24" i="1"/>
  <c r="L24" i="1" s="1"/>
  <c r="J25" i="1"/>
  <c r="L25" i="1" s="1"/>
  <c r="R24" i="2"/>
  <c r="P25" i="2"/>
  <c r="P75" i="10" l="1"/>
  <c r="P86" i="10" s="1"/>
  <c r="O75" i="10"/>
  <c r="O86" i="10" s="1"/>
  <c r="Q75" i="10"/>
  <c r="Q86" i="10" s="1"/>
  <c r="M44" i="9"/>
  <c r="N40" i="9" s="1"/>
  <c r="F21" i="9"/>
  <c r="F22" i="9" s="1"/>
  <c r="F23" i="9" s="1"/>
  <c r="F24" i="9" s="1"/>
  <c r="L20" i="9" s="1"/>
  <c r="H23" i="9"/>
  <c r="K23" i="9"/>
  <c r="R25" i="2"/>
  <c r="F27" i="1"/>
  <c r="F25" i="9" l="1"/>
  <c r="F26" i="9" s="1"/>
  <c r="F27" i="9" s="1"/>
  <c r="F28" i="9" s="1"/>
  <c r="F29" i="9" s="1"/>
  <c r="F30" i="9" s="1"/>
  <c r="F31" i="9" s="1"/>
  <c r="F32" i="9" s="1"/>
  <c r="L40" i="9"/>
  <c r="L19" i="9"/>
  <c r="H24" i="9"/>
  <c r="J27" i="1"/>
  <c r="L27" i="1" s="1"/>
  <c r="L28" i="1" l="1"/>
  <c r="L30" i="1" s="1"/>
  <c r="R75" i="10"/>
  <c r="R86" i="10" s="1"/>
  <c r="L21" i="9"/>
  <c r="N20" i="9"/>
  <c r="H25" i="9"/>
  <c r="L22" i="9"/>
  <c r="F33" i="9"/>
  <c r="F34" i="9" s="1"/>
  <c r="F35" i="9" s="1"/>
  <c r="F36" i="9" s="1"/>
  <c r="F37" i="9" l="1"/>
  <c r="F38" i="9" s="1"/>
  <c r="F39" i="9" s="1"/>
  <c r="F40" i="9" s="1"/>
  <c r="L23" i="9"/>
  <c r="H26" i="9"/>
  <c r="H27" i="9" l="1"/>
  <c r="L24" i="9"/>
  <c r="F41" i="9"/>
  <c r="F42" i="9" s="1"/>
  <c r="F43" i="9" s="1"/>
  <c r="F44" i="9" s="1"/>
  <c r="F45" i="9" l="1"/>
  <c r="L25" i="9"/>
  <c r="H28" i="9"/>
  <c r="H29" i="9" l="1"/>
  <c r="N21" i="9"/>
  <c r="F46" i="9"/>
  <c r="F47" i="9" s="1"/>
  <c r="F48" i="9" s="1"/>
  <c r="L26" i="9" l="1"/>
  <c r="F49" i="9"/>
  <c r="H30" i="9"/>
  <c r="H31" i="9" l="1"/>
  <c r="F50" i="9"/>
  <c r="F51" i="9" s="1"/>
  <c r="F52" i="9" s="1"/>
  <c r="L27" i="9" l="1"/>
  <c r="F53" i="9"/>
  <c r="H32" i="9"/>
  <c r="H33" i="9" l="1"/>
  <c r="N22" i="9"/>
  <c r="F54" i="9"/>
  <c r="F55" i="9" s="1"/>
  <c r="F56" i="9" s="1"/>
  <c r="L28" i="9" l="1"/>
  <c r="F57" i="9"/>
  <c r="H34" i="9"/>
  <c r="H35" i="9" l="1"/>
  <c r="F58" i="9"/>
  <c r="F59" i="9" s="1"/>
  <c r="F60" i="9" s="1"/>
  <c r="F61" i="9" l="1"/>
  <c r="L29" i="9"/>
  <c r="H36" i="9"/>
  <c r="H37" i="9" l="1"/>
  <c r="N23" i="9"/>
  <c r="F62" i="9"/>
  <c r="F63" i="9" s="1"/>
  <c r="F64" i="9" s="1"/>
  <c r="L30" i="9" l="1"/>
  <c r="F65" i="9"/>
  <c r="H38" i="9"/>
  <c r="H39" i="9" l="1"/>
  <c r="F66" i="9"/>
  <c r="F67" i="9" s="1"/>
  <c r="F68" i="9" s="1"/>
  <c r="L31" i="9" s="1"/>
  <c r="F69" i="9" l="1"/>
  <c r="H40" i="9"/>
  <c r="F70" i="9" l="1"/>
  <c r="F71" i="9" s="1"/>
  <c r="N24" i="9"/>
  <c r="H41" i="9"/>
  <c r="H42" i="9" l="1"/>
  <c r="F72" i="9"/>
  <c r="H43" i="9" l="1"/>
  <c r="F73" i="9"/>
  <c r="L32" i="9"/>
  <c r="H44" i="9" l="1"/>
  <c r="F74" i="9"/>
  <c r="N25" i="9" l="1"/>
  <c r="H45" i="9"/>
  <c r="F75" i="9"/>
  <c r="H46" i="9" l="1"/>
  <c r="F76" i="9"/>
  <c r="H47" i="9" l="1"/>
  <c r="F77" i="9"/>
  <c r="L33" i="9"/>
  <c r="H48" i="9" l="1"/>
  <c r="F78" i="9"/>
  <c r="N26" i="9" l="1"/>
  <c r="H49" i="9"/>
  <c r="F79" i="9"/>
  <c r="F80" i="9" s="1"/>
  <c r="L34" i="9" s="1"/>
  <c r="H50" i="9" l="1"/>
  <c r="H51" i="9" l="1"/>
  <c r="H52" i="9" l="1"/>
  <c r="H53" i="9" l="1"/>
  <c r="N27" i="9"/>
  <c r="H54" i="9" l="1"/>
  <c r="H55" i="9" l="1"/>
  <c r="H56" i="9" l="1"/>
  <c r="N28" i="9" l="1"/>
  <c r="H57" i="9"/>
  <c r="H58" i="9" l="1"/>
  <c r="H59" i="9" l="1"/>
  <c r="H60" i="9" l="1"/>
  <c r="N29" i="9" l="1"/>
  <c r="H61" i="9"/>
  <c r="H62" i="9" l="1"/>
  <c r="H63" i="9" l="1"/>
  <c r="H64" i="9" l="1"/>
  <c r="H65" i="9" l="1"/>
  <c r="N30" i="9"/>
  <c r="H66" i="9" l="1"/>
  <c r="H67" i="9" l="1"/>
  <c r="H68" i="9" l="1"/>
  <c r="N31" i="9" l="1"/>
  <c r="H69" i="9"/>
  <c r="H70" i="9" l="1"/>
  <c r="H71" i="9" l="1"/>
  <c r="H72" i="9" l="1"/>
  <c r="H73" i="9" l="1"/>
  <c r="N32" i="9"/>
  <c r="H74" i="9" l="1"/>
  <c r="H75" i="9" l="1"/>
  <c r="H76" i="9" l="1"/>
  <c r="N33" i="9" l="1"/>
  <c r="H77" i="9"/>
  <c r="H78" i="9" l="1"/>
  <c r="H79" i="9" l="1"/>
  <c r="H80" i="9" l="1"/>
  <c r="N34" i="9" l="1"/>
</calcChain>
</file>

<file path=xl/sharedStrings.xml><?xml version="1.0" encoding="utf-8"?>
<sst xmlns="http://schemas.openxmlformats.org/spreadsheetml/2006/main" count="471" uniqueCount="294">
  <si>
    <t>Year</t>
  </si>
  <si>
    <t>DR</t>
  </si>
  <si>
    <t>NOTES:</t>
  </si>
  <si>
    <t>LPR</t>
  </si>
  <si>
    <t>LIP</t>
  </si>
  <si>
    <t xml:space="preserve">Devaluation Factor </t>
  </si>
  <si>
    <t>FPR</t>
  </si>
  <si>
    <t>FIP</t>
  </si>
  <si>
    <t xml:space="preserve">Inflation Factor </t>
  </si>
  <si>
    <t xml:space="preserve">Input to be provided by bidders </t>
  </si>
  <si>
    <t xml:space="preserve">Output </t>
  </si>
  <si>
    <t xml:space="preserve">Discount Factor </t>
  </si>
  <si>
    <t>IR</t>
  </si>
  <si>
    <t>FE</t>
  </si>
  <si>
    <t>LE</t>
  </si>
  <si>
    <t>AEY = AFE + LE</t>
  </si>
  <si>
    <t>LDSY = LPR+LIP</t>
  </si>
  <si>
    <t>FDSY = FPR+FIP</t>
  </si>
  <si>
    <t>TDSY = (LDSY+AFDSY)</t>
  </si>
  <si>
    <t xml:space="preserve">Input to be provided by [Grantor] based on market data </t>
  </si>
  <si>
    <t>Availability Payment</t>
  </si>
  <si>
    <t>CAW</t>
  </si>
  <si>
    <t>m3/day</t>
  </si>
  <si>
    <t>Winter</t>
  </si>
  <si>
    <t xml:space="preserve">Projected Loss of Net Water Output due to Unavailability </t>
  </si>
  <si>
    <r>
      <t>LCWp</t>
    </r>
    <r>
      <rPr>
        <b/>
        <vertAlign val="subscript"/>
        <sz val="9"/>
        <color theme="0"/>
        <rFont val="Times New Roman"/>
        <family val="1"/>
      </rPr>
      <t xml:space="preserve">ns </t>
    </r>
  </si>
  <si>
    <t>Winter - Planned</t>
  </si>
  <si>
    <t>Winter - Unplanned</t>
  </si>
  <si>
    <t>Total</t>
  </si>
  <si>
    <t>C&amp;O Period</t>
  </si>
  <si>
    <t>Operating Period</t>
  </si>
  <si>
    <t>Hours in Contract Year</t>
  </si>
  <si>
    <t>Summer</t>
  </si>
  <si>
    <t>PHs</t>
  </si>
  <si>
    <t>PHw</t>
  </si>
  <si>
    <t>hours</t>
  </si>
  <si>
    <t>Projected Available Net Water Output</t>
  </si>
  <si>
    <r>
      <t>LCWp</t>
    </r>
    <r>
      <rPr>
        <b/>
        <vertAlign val="subscript"/>
        <sz val="9"/>
        <color theme="0"/>
        <rFont val="Times New Roman"/>
        <family val="1"/>
      </rPr>
      <t>nw</t>
    </r>
    <r>
      <rPr>
        <b/>
        <vertAlign val="superscript"/>
        <sz val="9"/>
        <color theme="0"/>
        <rFont val="Times New Roman"/>
        <family val="1"/>
      </rPr>
      <t>P</t>
    </r>
  </si>
  <si>
    <r>
      <t>LCWp</t>
    </r>
    <r>
      <rPr>
        <b/>
        <vertAlign val="subscript"/>
        <sz val="9"/>
        <color theme="0"/>
        <rFont val="Times New Roman"/>
        <family val="1"/>
      </rPr>
      <t>nw</t>
    </r>
    <r>
      <rPr>
        <b/>
        <vertAlign val="superscript"/>
        <sz val="9"/>
        <color theme="0"/>
        <rFont val="Times New Roman"/>
        <family val="1"/>
      </rPr>
      <t>U</t>
    </r>
  </si>
  <si>
    <r>
      <t>ANWO</t>
    </r>
    <r>
      <rPr>
        <b/>
        <vertAlign val="subscript"/>
        <sz val="9"/>
        <color theme="0"/>
        <rFont val="Century Gothic"/>
        <family val="2"/>
      </rPr>
      <t>pn</t>
    </r>
    <r>
      <rPr>
        <b/>
        <sz val="9"/>
        <color theme="0"/>
        <rFont val="Century Gothic"/>
        <family val="2"/>
      </rPr>
      <t xml:space="preserve"> </t>
    </r>
  </si>
  <si>
    <t>Jan</t>
  </si>
  <si>
    <t>Feb</t>
  </si>
  <si>
    <t>Mar</t>
  </si>
  <si>
    <t>Apr</t>
  </si>
  <si>
    <t>May</t>
  </si>
  <si>
    <t>Jun</t>
  </si>
  <si>
    <t>Jul</t>
  </si>
  <si>
    <t>Aug</t>
  </si>
  <si>
    <t>Sept</t>
  </si>
  <si>
    <t>Oct</t>
  </si>
  <si>
    <t>Nov</t>
  </si>
  <si>
    <t>Dec</t>
  </si>
  <si>
    <t>kWh</t>
  </si>
  <si>
    <t>ESG</t>
  </si>
  <si>
    <t xml:space="preserve">Contracted Specific Net Solar Generation </t>
  </si>
  <si>
    <t>FD_P_RC</t>
  </si>
  <si>
    <t>FD_I_RC</t>
  </si>
  <si>
    <t>LD_P_RC</t>
  </si>
  <si>
    <t>LD_I_RC</t>
  </si>
  <si>
    <t>FE_RC</t>
  </si>
  <si>
    <t>LE_RC</t>
  </si>
  <si>
    <t>FOMRW</t>
  </si>
  <si>
    <t>VOMRW</t>
  </si>
  <si>
    <t>PKR/ m3</t>
  </si>
  <si>
    <t xml:space="preserve">Foreign Debt Principal Recovery Charge </t>
  </si>
  <si>
    <t xml:space="preserve">Foreign Debt Interest Recovery Charge </t>
  </si>
  <si>
    <t xml:space="preserve">Local Debt Principal Recovery Charge </t>
  </si>
  <si>
    <t xml:space="preserve">Local Debt Interest Recovery Charge </t>
  </si>
  <si>
    <t xml:space="preserve">Foreign Equity Recovery Charge </t>
  </si>
  <si>
    <t xml:space="preserve">Local Equity Recovery Charge </t>
  </si>
  <si>
    <t xml:space="preserve">Fixed O&amp;M Cost Recovery Charge </t>
  </si>
  <si>
    <t xml:space="preserve">Variable O&amp;M Cost Recovery Charge </t>
  </si>
  <si>
    <t>kWh/m3</t>
  </si>
  <si>
    <t xml:space="preserve">Contracted Specific Net Electrical Energy Consumption </t>
  </si>
  <si>
    <t>Cost Recovery Charges (before indexation/adjustment)</t>
  </si>
  <si>
    <t>Cost Recovery Charges (after indexation/adjustment)</t>
  </si>
  <si>
    <t>Output Payment</t>
  </si>
  <si>
    <t>m3</t>
  </si>
  <si>
    <t>Net Water Input</t>
  </si>
  <si>
    <t>Allowable Non Revenue Water (NRW)</t>
  </si>
  <si>
    <t>%</t>
  </si>
  <si>
    <t>Net Water Output</t>
  </si>
  <si>
    <t>PKR/kWh</t>
  </si>
  <si>
    <t>Project Electricty Consumption</t>
  </si>
  <si>
    <t>PEC</t>
  </si>
  <si>
    <t>EP</t>
  </si>
  <si>
    <t>W</t>
  </si>
  <si>
    <t>AW</t>
  </si>
  <si>
    <t>BW</t>
  </si>
  <si>
    <t xml:space="preserve">Capital Cost Recovery Payment </t>
  </si>
  <si>
    <t>PKR</t>
  </si>
  <si>
    <t xml:space="preserve">Local Principal Repayment
</t>
  </si>
  <si>
    <t xml:space="preserve">Local Interest Payment
</t>
  </si>
  <si>
    <t xml:space="preserve">Total Local Debt Service </t>
  </si>
  <si>
    <t xml:space="preserve">Foreign Principal Repayment
</t>
  </si>
  <si>
    <t xml:space="preserve">Foreign Interest Payment
</t>
  </si>
  <si>
    <t xml:space="preserve">Total Foreign Debt Service
</t>
  </si>
  <si>
    <t xml:space="preserve">Total Debt Service </t>
  </si>
  <si>
    <t xml:space="preserve">Foreign Equity Component </t>
  </si>
  <si>
    <t xml:space="preserve">Total Equity Component </t>
  </si>
  <si>
    <t xml:space="preserve">Electricity Consumption Payment </t>
  </si>
  <si>
    <t>CW</t>
  </si>
  <si>
    <t xml:space="preserve"> Variable O&amp;M Cost Recovery Payment</t>
  </si>
  <si>
    <t>DW</t>
  </si>
  <si>
    <t>Service Payment and NPV</t>
  </si>
  <si>
    <t>SPW</t>
  </si>
  <si>
    <t>Service Payment</t>
  </si>
  <si>
    <t xml:space="preserve">Fixed O&amp;M Cost Recovery Payment </t>
  </si>
  <si>
    <t>Sum of Net Present Value of Service Payment, including Availability Payment and Output Payment  (Σ NPV):</t>
  </si>
  <si>
    <t>(1) Electricity Prices are assumed to be constant at PKR / kWh</t>
  </si>
  <si>
    <t xml:space="preserve">Input to be provided by KWSB based on market data </t>
  </si>
  <si>
    <t>(5) Based on a Discount Rate (DR) of:</t>
  </si>
  <si>
    <t>(2) Growth rate of National Consumer Price Index (IR) of:</t>
  </si>
  <si>
    <t>(4) Exchange Rate fluctuation (EXR):</t>
  </si>
  <si>
    <t>(3) Growth Rate of Electricity Price (EPI):</t>
  </si>
  <si>
    <t xml:space="preserve">Electricity Price  </t>
  </si>
  <si>
    <t>Electricity Price Growth Rate</t>
  </si>
  <si>
    <t>EPI</t>
  </si>
  <si>
    <t>Indexation Year</t>
  </si>
  <si>
    <t>EXR</t>
  </si>
  <si>
    <r>
      <t>LCWp</t>
    </r>
    <r>
      <rPr>
        <b/>
        <vertAlign val="subscript"/>
        <sz val="9"/>
        <color theme="0"/>
        <rFont val="Times New Roman"/>
        <family val="1"/>
      </rPr>
      <t>n</t>
    </r>
    <r>
      <rPr>
        <b/>
        <sz val="9"/>
        <color theme="0"/>
        <rFont val="Century Gothic"/>
        <family val="2"/>
      </rPr>
      <t xml:space="preserve"> = LCWp</t>
    </r>
    <r>
      <rPr>
        <b/>
        <vertAlign val="subscript"/>
        <sz val="9"/>
        <color theme="0"/>
        <rFont val="Century Gothic"/>
        <family val="2"/>
      </rPr>
      <t>ns</t>
    </r>
    <r>
      <rPr>
        <b/>
        <sz val="9"/>
        <color theme="0"/>
        <rFont val="Century Gothic"/>
        <family val="2"/>
      </rPr>
      <t xml:space="preserve">   + LCW</t>
    </r>
    <r>
      <rPr>
        <b/>
        <vertAlign val="subscript"/>
        <sz val="9"/>
        <color theme="0"/>
        <rFont val="Century Gothic"/>
        <family val="2"/>
      </rPr>
      <t>pnw</t>
    </r>
    <r>
      <rPr>
        <b/>
        <vertAlign val="superscript"/>
        <sz val="9"/>
        <color theme="0"/>
        <rFont val="Century Gothic"/>
        <family val="2"/>
      </rPr>
      <t>P</t>
    </r>
    <r>
      <rPr>
        <b/>
        <sz val="9"/>
        <color theme="0"/>
        <rFont val="Century Gothic"/>
        <family val="2"/>
      </rPr>
      <t xml:space="preserve"> + LCW</t>
    </r>
    <r>
      <rPr>
        <b/>
        <vertAlign val="subscript"/>
        <sz val="9"/>
        <color theme="0"/>
        <rFont val="Century Gothic"/>
        <family val="2"/>
      </rPr>
      <t>pnw</t>
    </r>
    <r>
      <rPr>
        <b/>
        <vertAlign val="superscript"/>
        <sz val="9"/>
        <color theme="0"/>
        <rFont val="Century Gothic"/>
        <family val="2"/>
      </rPr>
      <t>U</t>
    </r>
  </si>
  <si>
    <t>Input provided by KWSB</t>
  </si>
  <si>
    <t>NPV of Service Payments</t>
  </si>
  <si>
    <t>NPV_SC</t>
  </si>
  <si>
    <r>
      <t>ECR</t>
    </r>
    <r>
      <rPr>
        <b/>
        <vertAlign val="subscript"/>
        <sz val="9"/>
        <color theme="0"/>
        <rFont val="Century Gothic"/>
        <family val="2"/>
      </rPr>
      <t xml:space="preserve">CCn </t>
    </r>
  </si>
  <si>
    <t>NWI</t>
  </si>
  <si>
    <t>ANRW</t>
  </si>
  <si>
    <t>OPW = CW + DW</t>
  </si>
  <si>
    <t>Principal Repayment US Dollars Loan</t>
  </si>
  <si>
    <t>Outstanding Principal Amount US Dollars Loan after Repayment</t>
  </si>
  <si>
    <t>Principal Repayment PKR Loan</t>
  </si>
  <si>
    <t>Outstanding Principal Amount PKR Loan after Repayment</t>
  </si>
  <si>
    <t>Repayment Date</t>
  </si>
  <si>
    <t xml:space="preserve">NOTES: </t>
  </si>
  <si>
    <t>PCOD</t>
  </si>
  <si>
    <t>Quarter</t>
  </si>
  <si>
    <t>Termination Payments</t>
  </si>
  <si>
    <t>PCOD + 1 Quarter</t>
  </si>
  <si>
    <t>PCOD + 2 Quarter</t>
  </si>
  <si>
    <t>PCOD + 3 Quarter</t>
  </si>
  <si>
    <t>PCOD + 4 Quarter</t>
  </si>
  <si>
    <t>PCOD + 5 Quarter</t>
  </si>
  <si>
    <t>PCOD + 6 Quarter</t>
  </si>
  <si>
    <t>PCOD + 7 Quarter</t>
  </si>
  <si>
    <t>PCOD + 8 Quarter</t>
  </si>
  <si>
    <t>PCOD + 9 Quarter</t>
  </si>
  <si>
    <t>PCOD + 10 Quarter</t>
  </si>
  <si>
    <t>PCOD + 11 Quarter</t>
  </si>
  <si>
    <t>PCOD + 12 Quarter</t>
  </si>
  <si>
    <t>PCOD + 15 Quarter</t>
  </si>
  <si>
    <t>PCOD + 13 Quarter</t>
  </si>
  <si>
    <t>PCOD + 14 Quarter</t>
  </si>
  <si>
    <t>PCOD + 16 Quarter</t>
  </si>
  <si>
    <t>PCOD + 17 Quarter</t>
  </si>
  <si>
    <t>PCOD + 18 Quarter</t>
  </si>
  <si>
    <t>PCOD + 19 Quarter</t>
  </si>
  <si>
    <t>PCOD + 20 Quarter</t>
  </si>
  <si>
    <t>PCOD + 21 Quarter</t>
  </si>
  <si>
    <t>PCOD + 22 Quarter</t>
  </si>
  <si>
    <t>PCOD + 23 Quarter</t>
  </si>
  <si>
    <t>PCOD + 24 Quarter</t>
  </si>
  <si>
    <t>PCOD + 25 Quarter</t>
  </si>
  <si>
    <t>PCOD + 26 Quarter</t>
  </si>
  <si>
    <t>PCOD + 27 Quarter</t>
  </si>
  <si>
    <t>PCOD + 28 Quarter</t>
  </si>
  <si>
    <t>PCOD + 29 Quarter</t>
  </si>
  <si>
    <t>PCOD + 30 Quarter</t>
  </si>
  <si>
    <t>PCOD + 31 Quarter</t>
  </si>
  <si>
    <t>PCOD + 32 Quarter</t>
  </si>
  <si>
    <t>PCOD + 33 Quarter</t>
  </si>
  <si>
    <t>PCOD + 34 Quarter</t>
  </si>
  <si>
    <t>PCOD + 35 Quarter</t>
  </si>
  <si>
    <t>PCOD + 36 Quarter</t>
  </si>
  <si>
    <t>PCOD + 37 Quarter</t>
  </si>
  <si>
    <t>PCOD + 38 Quarter</t>
  </si>
  <si>
    <t>PCOD + 39 Quarter</t>
  </si>
  <si>
    <t>PCOD + 40 Quarter</t>
  </si>
  <si>
    <t>PCOD + 41 Quarter</t>
  </si>
  <si>
    <t>PCOD + 42 Quarter</t>
  </si>
  <si>
    <t>PCOD + 43 Quarter</t>
  </si>
  <si>
    <t>PCOD + 44 Quarter</t>
  </si>
  <si>
    <t>PCOD + 45 Quarter</t>
  </si>
  <si>
    <t>PCOD + 46 Quarter</t>
  </si>
  <si>
    <t>PCOD + 47 Quarter</t>
  </si>
  <si>
    <t>PCOD + 48 Quarter</t>
  </si>
  <si>
    <t>PCOD + 49 Quarter</t>
  </si>
  <si>
    <t>PCOD + 50 Quarter</t>
  </si>
  <si>
    <t>PCOD + 51 Quarter</t>
  </si>
  <si>
    <t>PCOD + 52 Quarter</t>
  </si>
  <si>
    <t>PCOD + 53 Quarter</t>
  </si>
  <si>
    <t>PCOD + 54 Quarter</t>
  </si>
  <si>
    <t>PCOD + 55 Quarter</t>
  </si>
  <si>
    <t>PCOD + 56 Quarter</t>
  </si>
  <si>
    <t>PCOD + 57 Quarter</t>
  </si>
  <si>
    <t>PCOD + 58 Quarter</t>
  </si>
  <si>
    <t>PCOD + 59 Quarter</t>
  </si>
  <si>
    <t>PCOD + 60 Quarter</t>
  </si>
  <si>
    <t>GoS Equity Amount*</t>
  </si>
  <si>
    <t xml:space="preserve">Sum of Net Present Value of Service Payment and GoS Equity Amount </t>
  </si>
  <si>
    <t>Contracted Available Net Water Output</t>
  </si>
  <si>
    <t>Maximum Foreign Equity</t>
  </si>
  <si>
    <t>Unit</t>
  </si>
  <si>
    <t>Description</t>
  </si>
  <si>
    <t>Maximum Local Equity</t>
  </si>
  <si>
    <t>Equity IRR (PKR) for Local Equity</t>
  </si>
  <si>
    <t>Equity IRR (USD) for Foreign Equity</t>
  </si>
  <si>
    <t>Value</t>
  </si>
  <si>
    <t>Percentage of Local Debt Interest Recovery Charge linked with KIBOR</t>
  </si>
  <si>
    <t>Concession Year</t>
  </si>
  <si>
    <t>Bid Data Forms</t>
  </si>
  <si>
    <t>Uses of Funds</t>
  </si>
  <si>
    <t>Development, Consultancy and Advisory</t>
  </si>
  <si>
    <t>Interest During Construction</t>
  </si>
  <si>
    <t>Financing Fees</t>
  </si>
  <si>
    <t>Independent Appointees Cost</t>
  </si>
  <si>
    <t>Sources of Funds</t>
  </si>
  <si>
    <t xml:space="preserve"> Local Equity Component</t>
  </si>
  <si>
    <t>Local Equity (including Local Currency Shareholder Loans)</t>
  </si>
  <si>
    <t>Foreign Equity (including Foreign Currency Shareholder Loans)</t>
  </si>
  <si>
    <t>* GoS Equity Amount is the Class B Equity to be issued to GoS which will be the lower of 49% of Total Equity and PKR 2.5 Billion as proposed by the Bidder in the Financial Proposal</t>
  </si>
  <si>
    <t>(6) Reference Exchange Rate PKR/USD</t>
  </si>
  <si>
    <t xml:space="preserve">Canal Rehabilitation </t>
  </si>
  <si>
    <t>New Pipeline Construction</t>
  </si>
  <si>
    <t>Pumping Stations</t>
  </si>
  <si>
    <t>K-III Connection and Pumping</t>
  </si>
  <si>
    <t>Rehabilitation/Replacement of Rising Mains</t>
  </si>
  <si>
    <t>Water Treatment Plant</t>
  </si>
  <si>
    <t>SCADA, Metering and Communications</t>
  </si>
  <si>
    <t>Solar PV Plant</t>
  </si>
  <si>
    <t>Taxes, Custom Duties and other Fees</t>
  </si>
  <si>
    <t>Other Costs</t>
  </si>
  <si>
    <t>Total Construction Cost</t>
  </si>
  <si>
    <t>Contingencies</t>
  </si>
  <si>
    <t>Insurance</t>
  </si>
  <si>
    <t>Design, Supervision and Project Management</t>
  </si>
  <si>
    <t>Total EPC Cost</t>
  </si>
  <si>
    <t>Local Sponsors</t>
  </si>
  <si>
    <t>Foreign Sponsors</t>
  </si>
  <si>
    <t>Revenue</t>
  </si>
  <si>
    <t>Operational Years</t>
  </si>
  <si>
    <t>Less:</t>
  </si>
  <si>
    <t>Taxes</t>
  </si>
  <si>
    <t>Fixed O&amp;M</t>
  </si>
  <si>
    <t>Variable O&amp;M</t>
  </si>
  <si>
    <t>Cashflow Available for Dividends</t>
  </si>
  <si>
    <t>Local Debt Service Payment</t>
  </si>
  <si>
    <t>Foreign Debt Service Payment</t>
  </si>
  <si>
    <t>Check</t>
  </si>
  <si>
    <t>Local Equity Cashflows</t>
  </si>
  <si>
    <t>Foreign Equity Cashflows</t>
  </si>
  <si>
    <t>Total Local Equity</t>
  </si>
  <si>
    <t>Total Foreign Equity</t>
  </si>
  <si>
    <t xml:space="preserve">EPC Cost </t>
  </si>
  <si>
    <t>Other Non-EPC Costs</t>
  </si>
  <si>
    <t>GoS Equity Amount</t>
  </si>
  <si>
    <t>The exchange rate shall be the TT selling rate prevailing seven (7) Business Days before the Bid Submission Date, as notified by National Bank of Pakistan. The rate can be accessed on https://www.nbp.com.pk/RATESHEET/index.aspx</t>
  </si>
  <si>
    <t xml:space="preserve">Note: In respect of Foreign Equity Recovery Charge (FE_RC) above, the foreign exchange indexation shall only be applied to lower of: (a) actual equity of the Foreign Sponsor (defined in Volume I/RFP); and (b) seventy percent (70%) of the total equity (excluding VGF) </t>
  </si>
  <si>
    <t>(1) PCOD = Project Commercial Operations Date</t>
  </si>
  <si>
    <t>(2) For the purposes of filling the 'Principal Repayment US Dollars Loan' column in PKR, please use the Reference Exchange Rate stated in sheet 'F3-F Service Payment and NPV'</t>
  </si>
  <si>
    <t xml:space="preserve">Availability Payment </t>
  </si>
  <si>
    <t>APW=AW + BW</t>
  </si>
  <si>
    <t>Total Equity</t>
  </si>
  <si>
    <t>(2) For the purposes of converting the Foreign Equity in PKR, please use the Reference Exchange Rate stated in sheet 'F3-F Service Payment and NPV'</t>
  </si>
  <si>
    <t xml:space="preserve">(1) In respect of equity of the Foreign Sponsor (defined in Volume I/RFP) above, the amount should be less than or equal to seventy percent (70%) of the total equity (excluding VGF) </t>
  </si>
  <si>
    <t>Notes:</t>
  </si>
  <si>
    <t>EPC related Contingencies</t>
  </si>
  <si>
    <t>EPC related Insurance</t>
  </si>
  <si>
    <t>Total Project Cost</t>
  </si>
  <si>
    <t>Project Contingencies</t>
  </si>
  <si>
    <t>Project Insurance</t>
  </si>
  <si>
    <t>Rate</t>
  </si>
  <si>
    <t>Comments</t>
  </si>
  <si>
    <t>Note: The above table needs to be filled in by the Bidder based on the Tax Report submitted as part of the Financial Model</t>
  </si>
  <si>
    <t>Summer - Unplanned</t>
  </si>
  <si>
    <t>Note: The values for Allowable Non-Revenue Water (ANRW) during the Operating Period are subject to the maximum limit of 4%</t>
  </si>
  <si>
    <t>Note: The values for Contracted Specific Net Electrical Energy Consumption (ECRccn) during the Operating Period are subject to the maximum limit of 0.3</t>
  </si>
  <si>
    <r>
      <t>Note: The values for Summer - Unplanned (LCWpns), Winter - Planned (LCWpnwP) and Winter - Unplanned (LCWpnwU) each, during the Operating Period are, subject to the maximum limit of 909,218 m</t>
    </r>
    <r>
      <rPr>
        <vertAlign val="superscript"/>
        <sz val="11"/>
        <color theme="1"/>
        <rFont val="Century Gothic"/>
        <family val="2"/>
      </rPr>
      <t>3</t>
    </r>
  </si>
  <si>
    <t>Foreign Equity Tariff Component</t>
  </si>
  <si>
    <t>Local Equity Tariff Component</t>
  </si>
  <si>
    <t>Equity Payment Profile</t>
  </si>
  <si>
    <t>Debt Repayment Profile</t>
  </si>
  <si>
    <t>Operating Contract Year</t>
  </si>
  <si>
    <t>Percentage of Foreign Debt Interest Recovery Charge linked with SOFR</t>
  </si>
  <si>
    <t>USD</t>
  </si>
  <si>
    <t>Local Debt</t>
  </si>
  <si>
    <t>Foreign Debt</t>
  </si>
  <si>
    <t>(3) The total amount of Foreign Debt and Foreign Equiry should not exceed the PKR equivalent of USD 35,000,000 (United States Dollars Thirty Five Million Only)</t>
  </si>
  <si>
    <t>Total Equity Excluding GoS Equity Amount</t>
  </si>
  <si>
    <t>F2-I1: Sources and Uses</t>
  </si>
  <si>
    <t>F2-I2: Project Cost</t>
  </si>
  <si>
    <t>F2-I3: Shareholding Composition</t>
  </si>
  <si>
    <t>F2-I4: Cashflow Statement</t>
  </si>
  <si>
    <t>F2-I5: Sponsor Equity Calculation</t>
  </si>
  <si>
    <t>F2-I6: Applicable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</si>
</sst>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
    <numFmt numFmtId="166" formatCode="[$-409]d\-mmm\-yy;@"/>
    <numFmt numFmtId="167" formatCode="0.000"/>
  </numFmts>
  <fonts count="23" x14ac:knownFonts="1">
    <font>
      <sz val="11"/>
      <color theme="1"/>
      <name val="Calibri"/>
      <family val="2"/>
      <scheme val="minor"/>
    </font>
    <font>
      <sz val="11"/>
      <color theme="1"/>
      <name val="Calibri"/>
      <family val="2"/>
      <scheme val="minor"/>
    </font>
    <font>
      <sz val="11"/>
      <color theme="1"/>
      <name val="Century Gothic"/>
      <family val="2"/>
    </font>
    <font>
      <sz val="9"/>
      <color theme="1"/>
      <name val="Century Gothic"/>
      <family val="2"/>
    </font>
    <font>
      <sz val="9"/>
      <name val="Century Gothic"/>
      <family val="2"/>
    </font>
    <font>
      <b/>
      <sz val="9"/>
      <color theme="0"/>
      <name val="Century Gothic"/>
      <family val="2"/>
    </font>
    <font>
      <b/>
      <sz val="9"/>
      <name val="Century Gothic"/>
      <family val="2"/>
    </font>
    <font>
      <b/>
      <u/>
      <sz val="14"/>
      <color theme="1"/>
      <name val="Calibri"/>
      <family val="2"/>
      <scheme val="minor"/>
    </font>
    <font>
      <b/>
      <vertAlign val="subscript"/>
      <sz val="9"/>
      <color theme="0"/>
      <name val="Times New Roman"/>
      <family val="1"/>
    </font>
    <font>
      <b/>
      <vertAlign val="superscript"/>
      <sz val="9"/>
      <color theme="0"/>
      <name val="Times New Roman"/>
      <family val="1"/>
    </font>
    <font>
      <b/>
      <vertAlign val="superscript"/>
      <sz val="9"/>
      <color theme="0"/>
      <name val="Century Gothic"/>
      <family val="2"/>
    </font>
    <font>
      <b/>
      <vertAlign val="subscript"/>
      <sz val="9"/>
      <color theme="0"/>
      <name val="Century Gothic"/>
      <family val="2"/>
    </font>
    <font>
      <b/>
      <sz val="11"/>
      <color theme="1"/>
      <name val="Calibri"/>
      <family val="2"/>
      <scheme val="minor"/>
    </font>
    <font>
      <b/>
      <u/>
      <sz val="14"/>
      <color theme="1"/>
      <name val="Century Gothic"/>
      <family val="2"/>
    </font>
    <font>
      <b/>
      <sz val="11"/>
      <color theme="1"/>
      <name val="Century Gothic"/>
      <family val="2"/>
    </font>
    <font>
      <b/>
      <sz val="9"/>
      <color theme="1"/>
      <name val="Century Gothic"/>
      <family val="2"/>
    </font>
    <font>
      <i/>
      <sz val="9"/>
      <color theme="1"/>
      <name val="Century Gothic"/>
      <family val="2"/>
    </font>
    <font>
      <sz val="11"/>
      <color theme="0"/>
      <name val="Calibri"/>
      <family val="2"/>
      <scheme val="minor"/>
    </font>
    <font>
      <sz val="9"/>
      <color theme="0"/>
      <name val="Century Gothic"/>
      <family val="2"/>
    </font>
    <font>
      <b/>
      <sz val="11"/>
      <color theme="0"/>
      <name val="Century Gothic"/>
      <family val="2"/>
    </font>
    <font>
      <vertAlign val="superscript"/>
      <sz val="11"/>
      <color theme="1"/>
      <name val="Century Gothic"/>
      <family val="2"/>
    </font>
    <font>
      <sz val="10"/>
      <color theme="1"/>
      <name val="Century Gothic"/>
      <family val="2"/>
    </font>
    <font>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darkGray">
        <bgColor theme="0"/>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2065187536243"/>
        <bgColor indexed="64"/>
      </patternFill>
    </fill>
    <fill>
      <patternFill patternType="gray0625">
        <bgColor theme="0"/>
      </patternFill>
    </fill>
    <fill>
      <patternFill patternType="solid">
        <fgColor theme="8" tint="0.79998168889431442"/>
        <bgColor indexed="64"/>
      </patternFill>
    </fill>
    <fill>
      <patternFill patternType="solid">
        <fgColor theme="1" tint="0.34998626667073579"/>
        <bgColor indexed="64"/>
      </patternFill>
    </fill>
    <fill>
      <patternFill patternType="solid">
        <fgColor theme="8" tint="-0.499984740745262"/>
        <bgColor indexed="64"/>
      </patternFill>
    </fill>
  </fills>
  <borders count="76">
    <border>
      <left/>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right style="medium">
        <color indexed="64"/>
      </right>
      <top style="medium">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medium">
        <color indexed="64"/>
      </top>
      <bottom/>
      <diagonal/>
    </border>
    <border>
      <left/>
      <right/>
      <top style="medium">
        <color indexed="64"/>
      </top>
      <bottom/>
      <diagonal/>
    </border>
    <border>
      <left/>
      <right style="medium">
        <color indexed="64"/>
      </right>
      <top style="thin">
        <color theme="0"/>
      </top>
      <bottom style="thin">
        <color theme="0"/>
      </bottom>
      <diagonal/>
    </border>
    <border>
      <left style="thin">
        <color theme="0"/>
      </left>
      <right style="thin">
        <color theme="0"/>
      </right>
      <top style="medium">
        <color indexed="64"/>
      </top>
      <bottom/>
      <diagonal/>
    </border>
    <border>
      <left style="thin">
        <color theme="0"/>
      </left>
      <right/>
      <top style="thin">
        <color theme="0"/>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right/>
      <top/>
      <bottom style="medium">
        <color indexed="64"/>
      </bottom>
      <diagonal/>
    </border>
    <border>
      <left style="medium">
        <color indexed="64"/>
      </left>
      <right style="thin">
        <color theme="0"/>
      </right>
      <top style="thin">
        <color theme="0"/>
      </top>
      <bottom/>
      <diagonal/>
    </border>
    <border>
      <left style="medium">
        <color indexed="64"/>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theme="0"/>
      </right>
      <top style="medium">
        <color indexed="64"/>
      </top>
      <bottom/>
      <diagonal/>
    </border>
    <border>
      <left/>
      <right style="thin">
        <color theme="0"/>
      </right>
      <top style="medium">
        <color indexed="64"/>
      </top>
      <bottom/>
      <diagonal/>
    </border>
    <border>
      <left/>
      <right/>
      <top style="thin">
        <color indexed="64"/>
      </top>
      <bottom/>
      <diagonal/>
    </border>
    <border>
      <left/>
      <right style="medium">
        <color indexed="64"/>
      </right>
      <top style="thin">
        <color theme="0"/>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theme="0"/>
      </right>
      <top/>
      <bottom/>
      <diagonal/>
    </border>
    <border>
      <left style="thin">
        <color theme="0"/>
      </left>
      <right style="thin">
        <color theme="0"/>
      </right>
      <top/>
      <bottom style="medium">
        <color indexed="64"/>
      </bottom>
      <diagonal/>
    </border>
    <border>
      <left/>
      <right style="thin">
        <color theme="0"/>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7">
    <xf numFmtId="0" fontId="0" fillId="0" borderId="0" xfId="0"/>
    <xf numFmtId="0" fontId="5" fillId="3" borderId="1" xfId="0" applyFont="1" applyFill="1" applyBorder="1" applyAlignment="1">
      <alignment horizontal="center"/>
    </xf>
    <xf numFmtId="0" fontId="5" fillId="3" borderId="1" xfId="0" applyFont="1" applyFill="1" applyBorder="1" applyAlignment="1">
      <alignment horizontal="center" vertical="center"/>
    </xf>
    <xf numFmtId="0" fontId="3" fillId="4" borderId="1"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wrapText="1"/>
    </xf>
    <xf numFmtId="0" fontId="5" fillId="3" borderId="6" xfId="0" applyFont="1" applyFill="1" applyBorder="1"/>
    <xf numFmtId="0" fontId="5" fillId="3" borderId="6" xfId="0" applyFont="1" applyFill="1" applyBorder="1" applyAlignment="1">
      <alignment horizontal="center"/>
    </xf>
    <xf numFmtId="0" fontId="3" fillId="4" borderId="6" xfId="0" applyFont="1" applyFill="1" applyBorder="1" applyAlignment="1">
      <alignment horizontal="center"/>
    </xf>
    <xf numFmtId="0" fontId="0" fillId="2" borderId="0" xfId="0" applyFill="1"/>
    <xf numFmtId="37" fontId="4" fillId="5" borderId="2" xfId="1" applyNumberFormat="1" applyFont="1" applyFill="1" applyBorder="1" applyAlignment="1">
      <alignment horizontal="center"/>
    </xf>
    <xf numFmtId="2" fontId="4" fillId="6" borderId="2" xfId="1" applyNumberFormat="1" applyFont="1" applyFill="1" applyBorder="1" applyAlignment="1">
      <alignment horizontal="center"/>
    </xf>
    <xf numFmtId="0" fontId="0" fillId="2" borderId="2" xfId="0" applyFill="1" applyBorder="1"/>
    <xf numFmtId="0" fontId="2" fillId="2" borderId="0" xfId="0" applyFont="1" applyFill="1"/>
    <xf numFmtId="0" fontId="5" fillId="3" borderId="14" xfId="0" applyFont="1" applyFill="1" applyBorder="1" applyAlignment="1">
      <alignment horizont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xf>
    <xf numFmtId="0" fontId="5" fillId="3" borderId="22" xfId="0" applyFont="1" applyFill="1" applyBorder="1" applyAlignment="1">
      <alignment horizontal="center"/>
    </xf>
    <xf numFmtId="0" fontId="3" fillId="4" borderId="22" xfId="0" applyFont="1" applyFill="1" applyBorder="1" applyAlignment="1">
      <alignment horizontal="center"/>
    </xf>
    <xf numFmtId="0" fontId="5" fillId="3" borderId="25" xfId="0" applyFont="1" applyFill="1" applyBorder="1" applyAlignment="1">
      <alignment horizontal="center"/>
    </xf>
    <xf numFmtId="0" fontId="5" fillId="3" borderId="25" xfId="0" applyFont="1" applyFill="1" applyBorder="1" applyAlignment="1">
      <alignment horizontal="center" vertical="center"/>
    </xf>
    <xf numFmtId="0" fontId="3" fillId="4" borderId="25" xfId="0" applyFont="1" applyFill="1" applyBorder="1" applyAlignment="1">
      <alignment horizontal="center"/>
    </xf>
    <xf numFmtId="0" fontId="5" fillId="3" borderId="33" xfId="0" applyFont="1" applyFill="1" applyBorder="1" applyAlignment="1">
      <alignment horizontal="center" wrapText="1"/>
    </xf>
    <xf numFmtId="0" fontId="5" fillId="3" borderId="34" xfId="0" applyFont="1" applyFill="1" applyBorder="1" applyAlignment="1">
      <alignment horizontal="center" vertical="center"/>
    </xf>
    <xf numFmtId="0" fontId="5" fillId="3" borderId="34" xfId="0" applyFont="1" applyFill="1" applyBorder="1" applyAlignment="1">
      <alignment horizontal="center"/>
    </xf>
    <xf numFmtId="0" fontId="3" fillId="4" borderId="34" xfId="0" applyFont="1" applyFill="1" applyBorder="1" applyAlignment="1">
      <alignment horizontal="center"/>
    </xf>
    <xf numFmtId="0" fontId="5" fillId="3" borderId="13" xfId="0" applyFont="1" applyFill="1" applyBorder="1" applyAlignment="1">
      <alignment horizontal="center"/>
    </xf>
    <xf numFmtId="9" fontId="0" fillId="2" borderId="0" xfId="2" applyFont="1" applyFill="1"/>
    <xf numFmtId="0" fontId="5" fillId="3" borderId="22" xfId="0" applyFont="1" applyFill="1" applyBorder="1"/>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3" xfId="0" applyFont="1" applyFill="1" applyBorder="1" applyAlignment="1">
      <alignment horizontal="center" vertical="center" wrapText="1"/>
    </xf>
    <xf numFmtId="43" fontId="4" fillId="5" borderId="1" xfId="1" applyNumberFormat="1" applyFont="1" applyFill="1" applyBorder="1" applyAlignment="1" applyProtection="1">
      <alignment horizontal="center"/>
      <protection locked="0"/>
    </xf>
    <xf numFmtId="43" fontId="4" fillId="5" borderId="9" xfId="1" applyNumberFormat="1" applyFont="1" applyFill="1" applyBorder="1" applyAlignment="1" applyProtection="1">
      <alignment horizontal="center"/>
      <protection locked="0"/>
    </xf>
    <xf numFmtId="0" fontId="0" fillId="2" borderId="0" xfId="0" applyFill="1" applyProtection="1">
      <protection hidden="1"/>
    </xf>
    <xf numFmtId="43" fontId="0" fillId="2" borderId="0" xfId="0" applyNumberFormat="1" applyFill="1" applyProtection="1">
      <protection hidden="1"/>
    </xf>
    <xf numFmtId="167" fontId="0" fillId="2" borderId="0" xfId="0" applyNumberFormat="1" applyFill="1" applyProtection="1">
      <protection hidden="1"/>
    </xf>
    <xf numFmtId="0" fontId="0" fillId="0" borderId="0" xfId="0" applyBorder="1" applyProtection="1">
      <protection hidden="1"/>
    </xf>
    <xf numFmtId="0" fontId="2" fillId="2" borderId="0" xfId="0" applyFont="1" applyFill="1" applyProtection="1">
      <protection hidden="1"/>
    </xf>
    <xf numFmtId="0" fontId="0" fillId="0" borderId="0" xfId="0" applyFill="1" applyProtection="1">
      <protection hidden="1"/>
    </xf>
    <xf numFmtId="0" fontId="0" fillId="0" borderId="0" xfId="0" applyProtection="1">
      <protection hidden="1"/>
    </xf>
    <xf numFmtId="0" fontId="5" fillId="3" borderId="3" xfId="0" applyFont="1" applyFill="1" applyBorder="1" applyAlignment="1" applyProtection="1">
      <alignment horizontal="center"/>
      <protection hidden="1"/>
    </xf>
    <xf numFmtId="0" fontId="5" fillId="3" borderId="13" xfId="0" applyFont="1" applyFill="1" applyBorder="1" applyAlignment="1" applyProtection="1">
      <alignment horizontal="center"/>
      <protection hidden="1"/>
    </xf>
    <xf numFmtId="0" fontId="5" fillId="3" borderId="4" xfId="0" applyFont="1" applyFill="1" applyBorder="1" applyAlignment="1" applyProtection="1">
      <alignment horizontal="center" wrapText="1"/>
      <protection hidden="1"/>
    </xf>
    <xf numFmtId="0" fontId="5" fillId="3" borderId="5" xfId="0" applyFont="1" applyFill="1" applyBorder="1" applyAlignment="1" applyProtection="1">
      <alignment horizontal="center" wrapText="1"/>
      <protection hidden="1"/>
    </xf>
    <xf numFmtId="0" fontId="5" fillId="3" borderId="14" xfId="0" applyFont="1" applyFill="1" applyBorder="1" applyAlignment="1" applyProtection="1">
      <alignment horizontal="center"/>
      <protection hidden="1"/>
    </xf>
    <xf numFmtId="0" fontId="5" fillId="3" borderId="17" xfId="0" applyFont="1" applyFill="1" applyBorder="1" applyAlignment="1" applyProtection="1">
      <alignment horizontal="center"/>
      <protection hidden="1"/>
    </xf>
    <xf numFmtId="0" fontId="5" fillId="3" borderId="15" xfId="0" applyFont="1" applyFill="1" applyBorder="1" applyAlignment="1" applyProtection="1">
      <alignment horizontal="center" wrapText="1"/>
      <protection hidden="1"/>
    </xf>
    <xf numFmtId="0" fontId="5" fillId="3" borderId="1" xfId="0" applyFont="1" applyFill="1" applyBorder="1" applyAlignment="1" applyProtection="1">
      <alignment horizontal="center"/>
      <protection hidden="1"/>
    </xf>
    <xf numFmtId="0" fontId="5" fillId="3" borderId="1"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wrapText="1"/>
      <protection hidden="1"/>
    </xf>
    <xf numFmtId="0" fontId="5" fillId="3" borderId="6" xfId="0" applyFont="1" applyFill="1" applyBorder="1" applyProtection="1">
      <protection hidden="1"/>
    </xf>
    <xf numFmtId="0" fontId="5" fillId="3" borderId="22" xfId="0" applyFont="1" applyFill="1" applyBorder="1" applyProtection="1">
      <protection hidden="1"/>
    </xf>
    <xf numFmtId="0" fontId="5" fillId="3" borderId="7"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0" fontId="5" fillId="3" borderId="1" xfId="0" applyFont="1" applyFill="1" applyBorder="1" applyAlignment="1" applyProtection="1">
      <alignment horizontal="center" wrapText="1"/>
      <protection hidden="1"/>
    </xf>
    <xf numFmtId="0" fontId="3" fillId="4" borderId="6" xfId="0" applyFont="1" applyFill="1" applyBorder="1" applyAlignment="1" applyProtection="1">
      <alignment horizontal="center"/>
      <protection hidden="1"/>
    </xf>
    <xf numFmtId="0" fontId="3" fillId="4" borderId="22" xfId="0" applyFont="1" applyFill="1" applyBorder="1" applyAlignment="1" applyProtection="1">
      <alignment horizontal="center"/>
      <protection hidden="1"/>
    </xf>
    <xf numFmtId="0" fontId="3" fillId="4" borderId="1" xfId="0" applyFont="1" applyFill="1" applyBorder="1" applyAlignment="1" applyProtection="1">
      <alignment horizontal="center"/>
      <protection hidden="1"/>
    </xf>
    <xf numFmtId="0" fontId="3" fillId="4" borderId="7" xfId="0" applyFont="1" applyFill="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22" xfId="0" applyFont="1" applyBorder="1" applyAlignment="1" applyProtection="1">
      <alignment horizontal="center"/>
      <protection hidden="1"/>
    </xf>
    <xf numFmtId="164" fontId="4" fillId="10" borderId="1" xfId="1" applyNumberFormat="1" applyFont="1" applyFill="1" applyBorder="1" applyAlignment="1" applyProtection="1">
      <alignment horizontal="center"/>
      <protection hidden="1"/>
    </xf>
    <xf numFmtId="164" fontId="4" fillId="2" borderId="1" xfId="1" applyNumberFormat="1" applyFont="1" applyFill="1" applyBorder="1" applyAlignment="1" applyProtection="1">
      <alignment horizontal="center"/>
      <protection hidden="1"/>
    </xf>
    <xf numFmtId="164" fontId="4" fillId="2" borderId="7" xfId="1" applyNumberFormat="1" applyFont="1" applyFill="1" applyBorder="1" applyAlignment="1" applyProtection="1">
      <alignment horizontal="center"/>
      <protection hidden="1"/>
    </xf>
    <xf numFmtId="43" fontId="4" fillId="2" borderId="1" xfId="1" applyFont="1" applyFill="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9" xfId="0" applyFont="1" applyBorder="1" applyAlignment="1" applyProtection="1">
      <alignment horizontal="center"/>
      <protection hidden="1"/>
    </xf>
    <xf numFmtId="164" fontId="4" fillId="10" borderId="9" xfId="1" applyNumberFormat="1" applyFont="1" applyFill="1" applyBorder="1" applyAlignment="1" applyProtection="1">
      <alignment horizontal="center"/>
      <protection hidden="1"/>
    </xf>
    <xf numFmtId="43" fontId="4" fillId="2" borderId="9" xfId="1" applyFont="1" applyFill="1" applyBorder="1" applyAlignment="1" applyProtection="1">
      <alignment horizontal="center"/>
      <protection hidden="1"/>
    </xf>
    <xf numFmtId="164" fontId="4" fillId="2" borderId="10" xfId="1" applyNumberFormat="1" applyFont="1" applyFill="1" applyBorder="1" applyAlignment="1" applyProtection="1">
      <alignment horizontal="center"/>
      <protection hidden="1"/>
    </xf>
    <xf numFmtId="37" fontId="4" fillId="5" borderId="2" xfId="1" applyNumberFormat="1" applyFont="1" applyFill="1" applyBorder="1" applyAlignment="1" applyProtection="1">
      <alignment horizontal="center"/>
      <protection hidden="1"/>
    </xf>
    <xf numFmtId="2" fontId="4" fillId="6" borderId="2" xfId="1" applyNumberFormat="1" applyFont="1" applyFill="1" applyBorder="1" applyAlignment="1" applyProtection="1">
      <alignment horizontal="center"/>
      <protection hidden="1"/>
    </xf>
    <xf numFmtId="0" fontId="0" fillId="2" borderId="2" xfId="0" applyFill="1" applyBorder="1" applyProtection="1">
      <protection hidden="1"/>
    </xf>
    <xf numFmtId="0" fontId="5" fillId="3" borderId="44" xfId="0" applyFont="1" applyFill="1" applyBorder="1" applyAlignment="1" applyProtection="1">
      <alignment horizontal="center"/>
      <protection hidden="1"/>
    </xf>
    <xf numFmtId="0" fontId="5" fillId="3" borderId="45" xfId="0" applyFont="1" applyFill="1" applyBorder="1" applyAlignment="1" applyProtection="1">
      <alignment horizontal="center"/>
      <protection hidden="1"/>
    </xf>
    <xf numFmtId="0" fontId="5" fillId="3" borderId="3" xfId="0" applyFont="1" applyFill="1" applyBorder="1" applyAlignment="1" applyProtection="1">
      <alignment horizontal="center" wrapText="1"/>
      <protection hidden="1"/>
    </xf>
    <xf numFmtId="0" fontId="5" fillId="3" borderId="45" xfId="0" applyFont="1" applyFill="1" applyBorder="1" applyAlignment="1" applyProtection="1">
      <alignment horizontal="center" wrapText="1"/>
      <protection hidden="1"/>
    </xf>
    <xf numFmtId="0" fontId="5" fillId="3" borderId="6" xfId="0" applyFont="1" applyFill="1" applyBorder="1" applyAlignment="1" applyProtection="1">
      <alignment horizontal="center" wrapText="1"/>
      <protection hidden="1"/>
    </xf>
    <xf numFmtId="0" fontId="5" fillId="3" borderId="7" xfId="0" applyFont="1" applyFill="1" applyBorder="1" applyAlignment="1" applyProtection="1">
      <alignment horizontal="center" wrapText="1"/>
      <protection hidden="1"/>
    </xf>
    <xf numFmtId="0" fontId="5" fillId="3" borderId="1" xfId="0" applyFont="1" applyFill="1" applyBorder="1" applyAlignment="1" applyProtection="1">
      <alignment horizontal="center" vertical="center" wrapText="1"/>
      <protection hidden="1"/>
    </xf>
    <xf numFmtId="0" fontId="5" fillId="3" borderId="56" xfId="0" applyFont="1" applyFill="1" applyBorder="1" applyAlignment="1" applyProtection="1">
      <alignment horizontal="center" wrapText="1"/>
      <protection hidden="1"/>
    </xf>
    <xf numFmtId="0" fontId="5" fillId="3" borderId="14" xfId="0" applyFont="1" applyFill="1" applyBorder="1" applyAlignment="1" applyProtection="1">
      <alignment horizontal="center" wrapText="1"/>
      <protection hidden="1"/>
    </xf>
    <xf numFmtId="0" fontId="5" fillId="3" borderId="17" xfId="0" applyFont="1" applyFill="1" applyBorder="1" applyAlignment="1" applyProtection="1">
      <alignment horizontal="center" wrapText="1"/>
      <protection hidden="1"/>
    </xf>
    <xf numFmtId="43" fontId="4" fillId="11" borderId="1" xfId="1" applyNumberFormat="1" applyFont="1" applyFill="1" applyBorder="1" applyAlignment="1" applyProtection="1">
      <alignment horizontal="center"/>
      <protection hidden="1"/>
    </xf>
    <xf numFmtId="2" fontId="4" fillId="10" borderId="6" xfId="1" applyNumberFormat="1" applyFont="1" applyFill="1" applyBorder="1" applyAlignment="1" applyProtection="1">
      <alignment horizontal="center"/>
      <protection hidden="1"/>
    </xf>
    <xf numFmtId="2" fontId="4" fillId="10" borderId="7" xfId="1" applyNumberFormat="1" applyFont="1" applyFill="1" applyBorder="1" applyAlignment="1" applyProtection="1">
      <alignment horizontal="center"/>
      <protection hidden="1"/>
    </xf>
    <xf numFmtId="43" fontId="4" fillId="2" borderId="7" xfId="1" applyNumberFormat="1" applyFont="1" applyFill="1" applyBorder="1" applyAlignment="1" applyProtection="1">
      <alignment horizontal="center"/>
      <protection hidden="1"/>
    </xf>
    <xf numFmtId="9" fontId="0" fillId="2" borderId="0" xfId="2" applyFont="1" applyFill="1" applyProtection="1">
      <protection hidden="1"/>
    </xf>
    <xf numFmtId="43" fontId="4" fillId="2" borderId="1" xfId="1" applyNumberFormat="1" applyFont="1" applyFill="1" applyBorder="1" applyAlignment="1" applyProtection="1">
      <alignment horizontal="center"/>
      <protection hidden="1"/>
    </xf>
    <xf numFmtId="43" fontId="4" fillId="0" borderId="1" xfId="1" applyNumberFormat="1" applyFont="1" applyFill="1" applyBorder="1" applyAlignment="1" applyProtection="1">
      <alignment horizontal="center"/>
      <protection hidden="1"/>
    </xf>
    <xf numFmtId="0" fontId="3" fillId="0" borderId="8" xfId="0" applyFont="1" applyBorder="1" applyAlignment="1" applyProtection="1">
      <alignment horizontal="center"/>
      <protection hidden="1"/>
    </xf>
    <xf numFmtId="2" fontId="4" fillId="10" borderId="8" xfId="1" applyNumberFormat="1" applyFont="1" applyFill="1" applyBorder="1" applyAlignment="1" applyProtection="1">
      <alignment horizontal="center"/>
      <protection hidden="1"/>
    </xf>
    <xf numFmtId="2" fontId="4" fillId="10" borderId="10" xfId="1" applyNumberFormat="1" applyFont="1" applyFill="1" applyBorder="1" applyAlignment="1" applyProtection="1">
      <alignment horizontal="center"/>
      <protection hidden="1"/>
    </xf>
    <xf numFmtId="43" fontId="4" fillId="2" borderId="9" xfId="1" applyNumberFormat="1" applyFont="1" applyFill="1" applyBorder="1" applyAlignment="1" applyProtection="1">
      <alignment horizontal="center"/>
      <protection hidden="1"/>
    </xf>
    <xf numFmtId="43" fontId="4" fillId="0" borderId="9" xfId="1" applyNumberFormat="1" applyFont="1" applyFill="1" applyBorder="1" applyAlignment="1" applyProtection="1">
      <alignment horizontal="center"/>
      <protection hidden="1"/>
    </xf>
    <xf numFmtId="43" fontId="4" fillId="2" borderId="10" xfId="1" applyNumberFormat="1" applyFont="1" applyFill="1" applyBorder="1" applyAlignment="1" applyProtection="1">
      <alignment horizontal="center"/>
      <protection hidden="1"/>
    </xf>
    <xf numFmtId="0" fontId="21" fillId="2" borderId="0" xfId="0" applyFont="1" applyFill="1" applyProtection="1">
      <protection hidden="1"/>
    </xf>
    <xf numFmtId="43" fontId="4" fillId="5" borderId="7" xfId="1" applyNumberFormat="1" applyFont="1" applyFill="1" applyBorder="1" applyAlignment="1" applyProtection="1">
      <alignment horizontal="center"/>
      <protection locked="0"/>
    </xf>
    <xf numFmtId="43" fontId="4" fillId="5" borderId="10" xfId="1" applyNumberFormat="1" applyFont="1" applyFill="1" applyBorder="1" applyAlignment="1" applyProtection="1">
      <alignment horizontal="center"/>
      <protection locked="0"/>
    </xf>
    <xf numFmtId="0" fontId="5" fillId="3" borderId="26" xfId="0" applyFont="1" applyFill="1" applyBorder="1" applyAlignment="1" applyProtection="1">
      <alignment horizontal="center"/>
      <protection hidden="1"/>
    </xf>
    <xf numFmtId="43" fontId="4" fillId="6" borderId="1" xfId="1" applyNumberFormat="1" applyFont="1" applyFill="1" applyBorder="1" applyAlignment="1" applyProtection="1">
      <protection hidden="1"/>
    </xf>
    <xf numFmtId="43" fontId="4" fillId="7" borderId="1" xfId="1" applyFont="1" applyFill="1" applyBorder="1" applyAlignment="1" applyProtection="1">
      <alignment horizontal="center"/>
      <protection hidden="1"/>
    </xf>
    <xf numFmtId="43" fontId="4" fillId="5" borderId="1" xfId="1" applyNumberFormat="1" applyFont="1" applyFill="1" applyBorder="1" applyAlignment="1" applyProtection="1">
      <protection locked="0"/>
    </xf>
    <xf numFmtId="43" fontId="4" fillId="5" borderId="9" xfId="1" applyNumberFormat="1" applyFont="1" applyFill="1" applyBorder="1" applyAlignment="1" applyProtection="1">
      <protection locked="0"/>
    </xf>
    <xf numFmtId="164" fontId="3" fillId="0" borderId="22" xfId="1" applyNumberFormat="1" applyFont="1" applyBorder="1" applyAlignment="1" applyProtection="1">
      <alignment horizontal="center"/>
      <protection hidden="1"/>
    </xf>
    <xf numFmtId="43" fontId="4" fillId="7" borderId="25" xfId="1" applyFont="1" applyFill="1" applyBorder="1" applyAlignment="1" applyProtection="1">
      <alignment horizontal="center"/>
      <protection hidden="1"/>
    </xf>
    <xf numFmtId="43" fontId="4" fillId="7" borderId="34" xfId="1" applyFont="1" applyFill="1" applyBorder="1" applyAlignment="1" applyProtection="1">
      <alignment horizontal="center"/>
      <protection hidden="1"/>
    </xf>
    <xf numFmtId="164" fontId="6" fillId="2" borderId="1" xfId="1" applyNumberFormat="1" applyFont="1" applyFill="1" applyBorder="1" applyAlignment="1" applyProtection="1">
      <alignment horizontal="center"/>
      <protection hidden="1"/>
    </xf>
    <xf numFmtId="164" fontId="6" fillId="2" borderId="25" xfId="1" applyNumberFormat="1" applyFont="1" applyFill="1" applyBorder="1" applyAlignment="1" applyProtection="1">
      <alignment horizontal="center"/>
      <protection hidden="1"/>
    </xf>
    <xf numFmtId="164" fontId="6" fillId="2" borderId="34" xfId="1" applyNumberFormat="1" applyFont="1" applyFill="1" applyBorder="1" applyAlignment="1" applyProtection="1">
      <alignment horizontal="center"/>
      <protection hidden="1"/>
    </xf>
    <xf numFmtId="164" fontId="3" fillId="0" borderId="23" xfId="1" applyNumberFormat="1" applyFont="1" applyBorder="1" applyAlignment="1" applyProtection="1">
      <alignment horizontal="center"/>
      <protection hidden="1"/>
    </xf>
    <xf numFmtId="164" fontId="4" fillId="2" borderId="9" xfId="1" applyNumberFormat="1" applyFont="1" applyFill="1" applyBorder="1" applyAlignment="1" applyProtection="1">
      <alignment horizontal="center"/>
      <protection hidden="1"/>
    </xf>
    <xf numFmtId="164" fontId="6" fillId="2" borderId="9" xfId="1" applyNumberFormat="1" applyFont="1" applyFill="1" applyBorder="1" applyAlignment="1" applyProtection="1">
      <alignment horizontal="center"/>
      <protection hidden="1"/>
    </xf>
    <xf numFmtId="164" fontId="6" fillId="2" borderId="31" xfId="1" applyNumberFormat="1" applyFont="1" applyFill="1" applyBorder="1" applyAlignment="1" applyProtection="1">
      <alignment horizontal="center"/>
      <protection hidden="1"/>
    </xf>
    <xf numFmtId="164" fontId="6" fillId="2" borderId="35" xfId="1" applyNumberFormat="1" applyFont="1" applyFill="1" applyBorder="1" applyAlignment="1" applyProtection="1">
      <alignment horizontal="center"/>
      <protection hidden="1"/>
    </xf>
    <xf numFmtId="0" fontId="5" fillId="3" borderId="13" xfId="0" applyFont="1" applyFill="1" applyBorder="1" applyAlignment="1" applyProtection="1">
      <alignment horizontal="center" wrapText="1"/>
      <protection hidden="1"/>
    </xf>
    <xf numFmtId="0" fontId="5" fillId="3" borderId="32" xfId="0" applyFont="1" applyFill="1" applyBorder="1" applyAlignment="1" applyProtection="1">
      <alignment horizontal="center" wrapText="1"/>
      <protection hidden="1"/>
    </xf>
    <xf numFmtId="0" fontId="5" fillId="3" borderId="58" xfId="0" applyFont="1" applyFill="1" applyBorder="1" applyAlignment="1" applyProtection="1">
      <alignment horizontal="center"/>
      <protection hidden="1"/>
    </xf>
    <xf numFmtId="0" fontId="5" fillId="3" borderId="33" xfId="0" applyFont="1" applyFill="1" applyBorder="1" applyAlignment="1" applyProtection="1">
      <alignment horizontal="center" wrapText="1"/>
      <protection hidden="1"/>
    </xf>
    <xf numFmtId="0" fontId="5" fillId="3" borderId="56" xfId="0" applyFont="1" applyFill="1" applyBorder="1" applyAlignment="1" applyProtection="1">
      <alignment horizontal="center"/>
      <protection hidden="1"/>
    </xf>
    <xf numFmtId="0" fontId="5" fillId="3" borderId="7"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protection hidden="1"/>
    </xf>
    <xf numFmtId="0" fontId="3" fillId="4" borderId="34" xfId="0" applyFont="1" applyFill="1" applyBorder="1" applyAlignment="1" applyProtection="1">
      <alignment horizontal="center"/>
      <protection hidden="1"/>
    </xf>
    <xf numFmtId="165" fontId="0" fillId="2" borderId="0" xfId="2" applyNumberFormat="1" applyFont="1" applyFill="1" applyProtection="1">
      <protection hidden="1"/>
    </xf>
    <xf numFmtId="10" fontId="4" fillId="6" borderId="1" xfId="2" applyNumberFormat="1" applyFont="1" applyFill="1" applyBorder="1" applyAlignment="1" applyProtection="1">
      <alignment horizontal="center"/>
      <protection hidden="1"/>
    </xf>
    <xf numFmtId="2" fontId="4" fillId="6" borderId="0" xfId="1" applyNumberFormat="1" applyFont="1" applyFill="1" applyBorder="1" applyAlignment="1" applyProtection="1">
      <alignment horizontal="center"/>
      <protection hidden="1"/>
    </xf>
    <xf numFmtId="164" fontId="3" fillId="0" borderId="29" xfId="1" applyNumberFormat="1" applyFont="1" applyBorder="1" applyAlignment="1" applyProtection="1">
      <alignment horizontal="center"/>
      <protection hidden="1"/>
    </xf>
    <xf numFmtId="164" fontId="3" fillId="0" borderId="34" xfId="1" applyNumberFormat="1" applyFont="1" applyBorder="1" applyAlignment="1" applyProtection="1">
      <alignment horizontal="center"/>
      <protection hidden="1"/>
    </xf>
    <xf numFmtId="10" fontId="3" fillId="6" borderId="22" xfId="2" applyNumberFormat="1" applyFont="1" applyFill="1" applyBorder="1" applyAlignment="1" applyProtection="1">
      <alignment horizontal="center"/>
      <protection hidden="1"/>
    </xf>
    <xf numFmtId="10" fontId="4" fillId="0" borderId="1" xfId="2" applyNumberFormat="1" applyFont="1" applyFill="1" applyBorder="1" applyAlignment="1" applyProtection="1">
      <alignment horizontal="center"/>
      <protection hidden="1"/>
    </xf>
    <xf numFmtId="10" fontId="4" fillId="0" borderId="9" xfId="2" applyNumberFormat="1" applyFont="1" applyFill="1" applyBorder="1" applyAlignment="1" applyProtection="1">
      <alignment horizontal="center"/>
      <protection hidden="1"/>
    </xf>
    <xf numFmtId="2" fontId="4" fillId="6" borderId="36" xfId="1" applyNumberFormat="1" applyFont="1" applyFill="1" applyBorder="1" applyAlignment="1" applyProtection="1">
      <alignment horizontal="center"/>
      <protection hidden="1"/>
    </xf>
    <xf numFmtId="164" fontId="3" fillId="0" borderId="47" xfId="1" applyNumberFormat="1" applyFont="1" applyBorder="1" applyAlignment="1" applyProtection="1">
      <alignment horizontal="center"/>
      <protection hidden="1"/>
    </xf>
    <xf numFmtId="164" fontId="3" fillId="0" borderId="35" xfId="1" applyNumberFormat="1" applyFont="1" applyBorder="1" applyAlignment="1" applyProtection="1">
      <alignment horizontal="center"/>
      <protection hidden="1"/>
    </xf>
    <xf numFmtId="10" fontId="4" fillId="5" borderId="1" xfId="2" applyNumberFormat="1" applyFont="1" applyFill="1" applyBorder="1" applyAlignment="1" applyProtection="1">
      <alignment horizontal="center"/>
      <protection locked="0"/>
    </xf>
    <xf numFmtId="0" fontId="7" fillId="2" borderId="0" xfId="0" applyFont="1" applyFill="1" applyAlignment="1" applyProtection="1">
      <protection hidden="1"/>
    </xf>
    <xf numFmtId="0" fontId="5" fillId="3" borderId="41" xfId="0" applyFont="1"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5" fillId="3" borderId="28" xfId="0" applyFont="1" applyFill="1" applyBorder="1" applyAlignment="1" applyProtection="1">
      <alignment horizontal="center" wrapText="1"/>
      <protection hidden="1"/>
    </xf>
    <xf numFmtId="0" fontId="5" fillId="3" borderId="24" xfId="0" applyFont="1" applyFill="1" applyBorder="1" applyAlignment="1" applyProtection="1">
      <alignment horizontal="center" wrapText="1"/>
      <protection hidden="1"/>
    </xf>
    <xf numFmtId="0" fontId="0" fillId="0" borderId="0" xfId="0" applyFill="1" applyBorder="1" applyAlignment="1" applyProtection="1">
      <alignment wrapText="1"/>
      <protection hidden="1"/>
    </xf>
    <xf numFmtId="9" fontId="0" fillId="0" borderId="0" xfId="0" applyNumberFormat="1" applyFill="1" applyBorder="1" applyAlignment="1" applyProtection="1">
      <alignment wrapText="1"/>
      <protection hidden="1"/>
    </xf>
    <xf numFmtId="0" fontId="0" fillId="2" borderId="0" xfId="0" applyFill="1" applyAlignment="1" applyProtection="1">
      <alignment wrapTex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wrapText="1"/>
      <protection hidden="1"/>
    </xf>
    <xf numFmtId="0" fontId="5" fillId="3" borderId="49" xfId="0" applyFont="1" applyFill="1" applyBorder="1" applyAlignment="1" applyProtection="1">
      <alignment horizontal="center" wrapText="1"/>
      <protection hidden="1"/>
    </xf>
    <xf numFmtId="0" fontId="5" fillId="3" borderId="0" xfId="0" applyFont="1" applyFill="1" applyBorder="1" applyAlignment="1" applyProtection="1">
      <alignment horizontal="center" vertical="center"/>
      <protection hidden="1"/>
    </xf>
    <xf numFmtId="0" fontId="5" fillId="3" borderId="0" xfId="0" applyFont="1" applyFill="1" applyBorder="1" applyAlignment="1" applyProtection="1">
      <alignment horizontal="center"/>
      <protection hidden="1"/>
    </xf>
    <xf numFmtId="0" fontId="5" fillId="3" borderId="49" xfId="0" applyFont="1" applyFill="1" applyBorder="1" applyAlignment="1" applyProtection="1">
      <alignment horizontal="center" vertical="center" wrapText="1"/>
      <protection hidden="1"/>
    </xf>
    <xf numFmtId="0" fontId="5" fillId="4" borderId="43"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center"/>
      <protection hidden="1"/>
    </xf>
    <xf numFmtId="0" fontId="5" fillId="4" borderId="49" xfId="0" applyFont="1" applyFill="1" applyBorder="1" applyAlignment="1" applyProtection="1">
      <alignment horizontal="center" vertical="center"/>
      <protection hidden="1"/>
    </xf>
    <xf numFmtId="0" fontId="3" fillId="0" borderId="43" xfId="0" applyFont="1" applyBorder="1" applyAlignment="1" applyProtection="1">
      <alignment horizontal="center"/>
      <protection hidden="1"/>
    </xf>
    <xf numFmtId="0" fontId="3" fillId="0" borderId="0" xfId="0" applyFont="1" applyBorder="1" applyAlignment="1" applyProtection="1">
      <alignment horizontal="center"/>
      <protection hidden="1"/>
    </xf>
    <xf numFmtId="164" fontId="4" fillId="2" borderId="0" xfId="1" applyNumberFormat="1" applyFont="1" applyFill="1" applyBorder="1" applyAlignment="1" applyProtection="1">
      <alignment horizontal="center"/>
      <protection hidden="1"/>
    </xf>
    <xf numFmtId="43" fontId="4" fillId="10" borderId="0" xfId="1" applyFont="1" applyFill="1" applyBorder="1" applyAlignment="1" applyProtection="1">
      <alignment horizontal="center"/>
      <protection hidden="1"/>
    </xf>
    <xf numFmtId="164" fontId="4" fillId="2" borderId="49" xfId="1" applyNumberFormat="1" applyFont="1" applyFill="1" applyBorder="1" applyAlignment="1" applyProtection="1">
      <alignment horizontal="center"/>
      <protection hidden="1"/>
    </xf>
    <xf numFmtId="10" fontId="0" fillId="2" borderId="0" xfId="2" applyNumberFormat="1" applyFont="1" applyFill="1" applyProtection="1">
      <protection hidden="1"/>
    </xf>
    <xf numFmtId="43" fontId="4" fillId="10" borderId="0" xfId="1" applyNumberFormat="1" applyFont="1" applyFill="1" applyBorder="1" applyAlignment="1" applyProtection="1">
      <alignment horizontal="center"/>
      <protection hidden="1"/>
    </xf>
    <xf numFmtId="0" fontId="3" fillId="0" borderId="53" xfId="0" applyFont="1" applyBorder="1" applyAlignment="1" applyProtection="1">
      <alignment horizontal="center"/>
      <protection hidden="1"/>
    </xf>
    <xf numFmtId="0" fontId="3" fillId="0" borderId="51" xfId="0" applyFont="1" applyBorder="1" applyAlignment="1" applyProtection="1">
      <alignment horizontal="center"/>
      <protection hidden="1"/>
    </xf>
    <xf numFmtId="164" fontId="4" fillId="2" borderId="51" xfId="1" applyNumberFormat="1" applyFont="1" applyFill="1" applyBorder="1" applyAlignment="1" applyProtection="1">
      <alignment horizontal="center"/>
      <protection hidden="1"/>
    </xf>
    <xf numFmtId="43" fontId="4" fillId="10" borderId="51" xfId="1" applyFont="1" applyFill="1" applyBorder="1" applyAlignment="1" applyProtection="1">
      <alignment horizontal="center"/>
      <protection hidden="1"/>
    </xf>
    <xf numFmtId="0" fontId="3" fillId="0" borderId="54" xfId="0" applyFont="1" applyBorder="1" applyProtection="1">
      <protection hidden="1"/>
    </xf>
    <xf numFmtId="0" fontId="3" fillId="0" borderId="46" xfId="0" applyFont="1" applyBorder="1" applyProtection="1">
      <protection hidden="1"/>
    </xf>
    <xf numFmtId="0" fontId="3" fillId="0" borderId="46" xfId="0" applyFont="1" applyBorder="1" applyAlignment="1" applyProtection="1">
      <alignment horizontal="centerContinuous"/>
      <protection hidden="1"/>
    </xf>
    <xf numFmtId="164" fontId="6" fillId="0" borderId="55" xfId="1" applyNumberFormat="1" applyFont="1" applyFill="1" applyBorder="1" applyProtection="1">
      <protection hidden="1"/>
    </xf>
    <xf numFmtId="0" fontId="3" fillId="0" borderId="53" xfId="0" applyFont="1" applyBorder="1" applyProtection="1">
      <protection hidden="1"/>
    </xf>
    <xf numFmtId="0" fontId="3" fillId="0" borderId="51" xfId="0" applyFont="1" applyBorder="1" applyProtection="1">
      <protection hidden="1"/>
    </xf>
    <xf numFmtId="0" fontId="0" fillId="2" borderId="51" xfId="0" applyFill="1" applyBorder="1" applyProtection="1">
      <protection hidden="1"/>
    </xf>
    <xf numFmtId="164" fontId="4" fillId="0" borderId="52" xfId="1" applyNumberFormat="1" applyFont="1" applyFill="1" applyBorder="1" applyAlignment="1" applyProtection="1">
      <alignment horizontal="center"/>
      <protection hidden="1"/>
    </xf>
    <xf numFmtId="0" fontId="12" fillId="2" borderId="0" xfId="0" applyFont="1" applyFill="1" applyProtection="1">
      <protection hidden="1"/>
    </xf>
    <xf numFmtId="0" fontId="15" fillId="0" borderId="42" xfId="0" applyFont="1" applyBorder="1" applyProtection="1">
      <protection hidden="1"/>
    </xf>
    <xf numFmtId="0" fontId="15" fillId="0" borderId="36" xfId="0" applyFont="1" applyBorder="1" applyProtection="1">
      <protection hidden="1"/>
    </xf>
    <xf numFmtId="0" fontId="12" fillId="2" borderId="36" xfId="0" applyFont="1" applyFill="1" applyBorder="1" applyProtection="1">
      <protection hidden="1"/>
    </xf>
    <xf numFmtId="164" fontId="6" fillId="0" borderId="62" xfId="1" applyNumberFormat="1" applyFont="1" applyFill="1" applyBorder="1" applyProtection="1">
      <protection hidden="1"/>
    </xf>
    <xf numFmtId="0" fontId="0" fillId="2" borderId="0" xfId="0" applyFill="1" applyBorder="1" applyProtection="1">
      <protection hidden="1"/>
    </xf>
    <xf numFmtId="0" fontId="2" fillId="6" borderId="2" xfId="0" applyFont="1" applyFill="1" applyBorder="1" applyProtection="1">
      <protection hidden="1"/>
    </xf>
    <xf numFmtId="9" fontId="2" fillId="6" borderId="2" xfId="0" applyNumberFormat="1" applyFont="1" applyFill="1" applyBorder="1" applyProtection="1">
      <protection hidden="1"/>
    </xf>
    <xf numFmtId="0" fontId="2" fillId="2" borderId="0" xfId="0" applyFont="1" applyFill="1" applyAlignment="1" applyProtection="1">
      <alignment vertical="center"/>
      <protection hidden="1"/>
    </xf>
    <xf numFmtId="0" fontId="14" fillId="2" borderId="0" xfId="0" applyFont="1" applyFill="1" applyProtection="1">
      <protection hidden="1"/>
    </xf>
    <xf numFmtId="37" fontId="4" fillId="0" borderId="0" xfId="1" applyNumberFormat="1" applyFont="1" applyFill="1" applyBorder="1" applyAlignment="1" applyProtection="1">
      <alignment horizontal="center"/>
      <protection hidden="1"/>
    </xf>
    <xf numFmtId="2" fontId="4" fillId="0" borderId="0" xfId="1" applyNumberFormat="1" applyFont="1" applyFill="1" applyBorder="1" applyAlignment="1" applyProtection="1">
      <alignment horizontal="center"/>
      <protection hidden="1"/>
    </xf>
    <xf numFmtId="166" fontId="3" fillId="0" borderId="0" xfId="0" applyNumberFormat="1" applyFont="1" applyBorder="1" applyAlignment="1" applyProtection="1">
      <alignment horizontal="center"/>
      <protection hidden="1"/>
    </xf>
    <xf numFmtId="166" fontId="5" fillId="4" borderId="41" xfId="0" applyNumberFormat="1" applyFont="1" applyFill="1" applyBorder="1" applyAlignment="1" applyProtection="1">
      <alignment horizontal="center" wrapText="1"/>
      <protection hidden="1"/>
    </xf>
    <xf numFmtId="166" fontId="5" fillId="4" borderId="28" xfId="0" applyNumberFormat="1" applyFont="1" applyFill="1" applyBorder="1" applyAlignment="1" applyProtection="1">
      <alignment horizontal="center"/>
      <protection hidden="1"/>
    </xf>
    <xf numFmtId="166" fontId="5" fillId="4" borderId="24" xfId="0" applyNumberFormat="1" applyFont="1" applyFill="1" applyBorder="1" applyAlignment="1" applyProtection="1">
      <alignment horizontal="center"/>
      <protection hidden="1"/>
    </xf>
    <xf numFmtId="166" fontId="3" fillId="0" borderId="43" xfId="0" applyNumberFormat="1" applyFont="1" applyBorder="1" applyAlignment="1" applyProtection="1">
      <alignment horizontal="left" wrapText="1"/>
      <protection hidden="1"/>
    </xf>
    <xf numFmtId="166" fontId="3" fillId="0" borderId="0" xfId="0" applyNumberFormat="1" applyFont="1" applyBorder="1" applyAlignment="1" applyProtection="1">
      <alignment horizontal="center" vertical="center"/>
      <protection hidden="1"/>
    </xf>
    <xf numFmtId="0" fontId="3" fillId="0" borderId="43" xfId="0" applyFont="1" applyBorder="1" applyAlignment="1" applyProtection="1">
      <alignment horizontal="left" wrapText="1"/>
      <protection hidden="1"/>
    </xf>
    <xf numFmtId="0" fontId="3" fillId="0" borderId="0" xfId="0" applyFont="1" applyBorder="1" applyAlignment="1" applyProtection="1">
      <alignment horizontal="center" vertical="center"/>
      <protection hidden="1"/>
    </xf>
    <xf numFmtId="166" fontId="3" fillId="0" borderId="0" xfId="0" applyNumberFormat="1" applyFont="1" applyBorder="1" applyAlignment="1" applyProtection="1">
      <alignment horizontal="left"/>
      <protection hidden="1"/>
    </xf>
    <xf numFmtId="166" fontId="3" fillId="0" borderId="43" xfId="0" applyNumberFormat="1" applyFont="1" applyBorder="1" applyAlignment="1" applyProtection="1">
      <alignment horizontal="left"/>
      <protection hidden="1"/>
    </xf>
    <xf numFmtId="164" fontId="3" fillId="0" borderId="0" xfId="1" applyNumberFormat="1"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43" xfId="0" applyFont="1" applyBorder="1" applyAlignment="1" applyProtection="1">
      <alignment horizontal="left"/>
      <protection hidden="1"/>
    </xf>
    <xf numFmtId="43" fontId="3" fillId="0" borderId="0" xfId="0" applyNumberFormat="1" applyFont="1" applyFill="1" applyBorder="1" applyAlignment="1" applyProtection="1">
      <alignment horizontal="center" vertical="center"/>
      <protection hidden="1"/>
    </xf>
    <xf numFmtId="0" fontId="3" fillId="0" borderId="42" xfId="0" applyFont="1" applyBorder="1" applyAlignment="1" applyProtection="1">
      <alignment horizontal="left"/>
      <protection hidden="1"/>
    </xf>
    <xf numFmtId="0" fontId="3" fillId="0" borderId="36" xfId="0" applyFont="1" applyBorder="1" applyAlignment="1" applyProtection="1">
      <alignment horizontal="center"/>
      <protection hidden="1"/>
    </xf>
    <xf numFmtId="0" fontId="3" fillId="0" borderId="0" xfId="0" applyFont="1" applyBorder="1" applyAlignment="1" applyProtection="1">
      <alignment horizontal="left"/>
      <protection hidden="1"/>
    </xf>
    <xf numFmtId="0" fontId="3"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 fillId="3" borderId="75" xfId="0" applyFont="1" applyFill="1" applyBorder="1" applyAlignment="1" applyProtection="1">
      <alignment horizontal="center" wrapText="1"/>
      <protection hidden="1"/>
    </xf>
    <xf numFmtId="0" fontId="5" fillId="3" borderId="41" xfId="0" applyFont="1" applyFill="1" applyBorder="1" applyAlignment="1" applyProtection="1">
      <alignment horizontal="center" wrapText="1"/>
      <protection hidden="1"/>
    </xf>
    <xf numFmtId="0" fontId="5" fillId="3" borderId="68" xfId="0" applyFont="1" applyFill="1" applyBorder="1" applyAlignment="1" applyProtection="1">
      <alignment horizontal="center" vertical="center"/>
      <protection hidden="1"/>
    </xf>
    <xf numFmtId="0" fontId="5" fillId="3" borderId="43" xfId="0" applyFont="1" applyFill="1" applyBorder="1" applyAlignment="1" applyProtection="1">
      <alignment horizontal="center" wrapText="1"/>
      <protection hidden="1"/>
    </xf>
    <xf numFmtId="0" fontId="5" fillId="3" borderId="49" xfId="0" applyFont="1" applyFill="1" applyBorder="1" applyAlignment="1" applyProtection="1">
      <alignment horizontal="center" vertical="center"/>
      <protection hidden="1"/>
    </xf>
    <xf numFmtId="0" fontId="3" fillId="4" borderId="67" xfId="0" applyFont="1" applyFill="1" applyBorder="1" applyAlignment="1" applyProtection="1">
      <alignment horizontal="center"/>
      <protection hidden="1"/>
    </xf>
    <xf numFmtId="0" fontId="5" fillId="4" borderId="68" xfId="0" applyFont="1" applyFill="1" applyBorder="1" applyAlignment="1" applyProtection="1">
      <alignment horizontal="center" vertical="center"/>
      <protection hidden="1"/>
    </xf>
    <xf numFmtId="0" fontId="3" fillId="0" borderId="74" xfId="0" applyFont="1" applyFill="1" applyBorder="1" applyAlignment="1" applyProtection="1">
      <alignment horizontal="center" wrapText="1"/>
      <protection hidden="1"/>
    </xf>
    <xf numFmtId="43" fontId="4" fillId="7" borderId="28" xfId="1" applyFont="1" applyFill="1" applyBorder="1" applyAlignment="1" applyProtection="1">
      <alignment horizontal="center"/>
      <protection hidden="1"/>
    </xf>
    <xf numFmtId="43" fontId="4" fillId="7" borderId="75" xfId="1" applyFont="1" applyFill="1" applyBorder="1" applyAlignment="1" applyProtection="1">
      <alignment horizontal="center"/>
      <protection hidden="1"/>
    </xf>
    <xf numFmtId="43" fontId="4" fillId="7" borderId="0" xfId="1" applyFont="1" applyFill="1" applyBorder="1" applyAlignment="1" applyProtection="1">
      <alignment horizontal="center"/>
      <protection hidden="1"/>
    </xf>
    <xf numFmtId="43" fontId="4" fillId="7" borderId="49" xfId="1" applyFont="1" applyFill="1" applyBorder="1" applyAlignment="1" applyProtection="1">
      <alignment horizontal="center"/>
      <protection hidden="1"/>
    </xf>
    <xf numFmtId="0" fontId="3" fillId="0" borderId="67" xfId="0" applyFont="1" applyFill="1" applyBorder="1" applyAlignment="1" applyProtection="1">
      <alignment horizontal="center" wrapText="1"/>
      <protection hidden="1"/>
    </xf>
    <xf numFmtId="43" fontId="4" fillId="7" borderId="68" xfId="1" applyFont="1" applyFill="1" applyBorder="1" applyAlignment="1" applyProtection="1">
      <alignment horizontal="center"/>
      <protection hidden="1"/>
    </xf>
    <xf numFmtId="43" fontId="4" fillId="7" borderId="51" xfId="1" applyFont="1" applyFill="1" applyBorder="1" applyAlignment="1" applyProtection="1">
      <alignment horizontal="center"/>
      <protection hidden="1"/>
    </xf>
    <xf numFmtId="43" fontId="4" fillId="0" borderId="51" xfId="1" applyFont="1" applyFill="1" applyBorder="1" applyAlignment="1" applyProtection="1">
      <alignment horizontal="center"/>
      <protection hidden="1"/>
    </xf>
    <xf numFmtId="43" fontId="4" fillId="0" borderId="52" xfId="1" applyFont="1" applyFill="1" applyBorder="1" applyAlignment="1" applyProtection="1">
      <alignment horizontal="center"/>
      <protection hidden="1"/>
    </xf>
    <xf numFmtId="0" fontId="3" fillId="8" borderId="48" xfId="0" applyFont="1" applyFill="1" applyBorder="1" applyAlignment="1" applyProtection="1">
      <alignment horizontal="center" wrapText="1"/>
      <protection hidden="1"/>
    </xf>
    <xf numFmtId="43" fontId="4" fillId="7" borderId="69" xfId="1" applyFont="1" applyFill="1" applyBorder="1" applyAlignment="1" applyProtection="1">
      <alignment horizontal="center"/>
      <protection hidden="1"/>
    </xf>
    <xf numFmtId="166" fontId="4" fillId="5" borderId="51" xfId="2" applyNumberFormat="1" applyFont="1" applyFill="1" applyBorder="1" applyAlignment="1" applyProtection="1">
      <alignment horizontal="center"/>
      <protection hidden="1"/>
    </xf>
    <xf numFmtId="43" fontId="4" fillId="0" borderId="70" xfId="1" applyFont="1" applyFill="1" applyBorder="1" applyAlignment="1" applyProtection="1">
      <alignment horizontal="center"/>
      <protection hidden="1"/>
    </xf>
    <xf numFmtId="43" fontId="4" fillId="0" borderId="0" xfId="1" applyFont="1" applyFill="1" applyBorder="1" applyAlignment="1" applyProtection="1">
      <alignment horizontal="center" vertical="center"/>
      <protection hidden="1"/>
    </xf>
    <xf numFmtId="43" fontId="4" fillId="0" borderId="49" xfId="1" applyFont="1" applyFill="1" applyBorder="1" applyAlignment="1" applyProtection="1">
      <alignment horizontal="center" vertical="center"/>
      <protection hidden="1"/>
    </xf>
    <xf numFmtId="164" fontId="4" fillId="2" borderId="68" xfId="1" applyNumberFormat="1" applyFont="1" applyFill="1" applyBorder="1" applyAlignment="1" applyProtection="1">
      <alignment horizontal="center"/>
      <protection hidden="1"/>
    </xf>
    <xf numFmtId="164" fontId="4" fillId="2" borderId="49" xfId="1" applyNumberFormat="1" applyFont="1" applyFill="1" applyBorder="1" applyAlignment="1" applyProtection="1">
      <alignment horizontal="center" vertical="center"/>
      <protection hidden="1"/>
    </xf>
    <xf numFmtId="164" fontId="4" fillId="2" borderId="0" xfId="1" applyNumberFormat="1" applyFont="1" applyFill="1" applyBorder="1" applyAlignment="1" applyProtection="1">
      <alignment horizontal="center" vertical="center"/>
      <protection hidden="1"/>
    </xf>
    <xf numFmtId="166" fontId="3" fillId="0" borderId="51" xfId="0" applyNumberFormat="1" applyFont="1" applyBorder="1" applyAlignment="1" applyProtection="1">
      <alignment horizontal="center"/>
      <protection hidden="1"/>
    </xf>
    <xf numFmtId="164" fontId="4" fillId="2" borderId="70" xfId="1" applyNumberFormat="1" applyFont="1" applyFill="1" applyBorder="1" applyAlignment="1" applyProtection="1">
      <alignment horizontal="center"/>
      <protection hidden="1"/>
    </xf>
    <xf numFmtId="0" fontId="3" fillId="0" borderId="46" xfId="0" applyFont="1" applyBorder="1" applyAlignment="1" applyProtection="1">
      <alignment horizontal="center"/>
      <protection hidden="1"/>
    </xf>
    <xf numFmtId="164" fontId="4" fillId="2" borderId="46" xfId="1" applyNumberFormat="1" applyFont="1" applyFill="1" applyBorder="1" applyAlignment="1" applyProtection="1">
      <alignment horizontal="center"/>
      <protection hidden="1"/>
    </xf>
    <xf numFmtId="164" fontId="4" fillId="2" borderId="66" xfId="1" applyNumberFormat="1" applyFont="1" applyFill="1" applyBorder="1" applyAlignment="1" applyProtection="1">
      <alignment horizontal="center"/>
      <protection hidden="1"/>
    </xf>
    <xf numFmtId="0" fontId="3" fillId="0" borderId="42" xfId="0" applyFont="1" applyBorder="1" applyAlignment="1" applyProtection="1">
      <alignment horizontal="center"/>
      <protection hidden="1"/>
    </xf>
    <xf numFmtId="164" fontId="4" fillId="2" borderId="36" xfId="1" applyNumberFormat="1" applyFont="1" applyFill="1" applyBorder="1" applyAlignment="1" applyProtection="1">
      <alignment horizontal="center" vertical="center"/>
      <protection hidden="1"/>
    </xf>
    <xf numFmtId="164" fontId="4" fillId="2" borderId="50" xfId="1" applyNumberFormat="1" applyFont="1" applyFill="1" applyBorder="1" applyAlignment="1" applyProtection="1">
      <alignment horizontal="center" vertical="center"/>
      <protection hidden="1"/>
    </xf>
    <xf numFmtId="43" fontId="4" fillId="0" borderId="36" xfId="1" applyFont="1" applyFill="1" applyBorder="1" applyAlignment="1" applyProtection="1">
      <alignment horizontal="center" vertical="center"/>
      <protection hidden="1"/>
    </xf>
    <xf numFmtId="9" fontId="4" fillId="0" borderId="0" xfId="2" applyFont="1" applyFill="1" applyBorder="1" applyAlignment="1" applyProtection="1">
      <alignment horizontal="center" vertical="center"/>
      <protection hidden="1"/>
    </xf>
    <xf numFmtId="9" fontId="4" fillId="0" borderId="49" xfId="2" applyFont="1" applyFill="1" applyBorder="1" applyAlignment="1" applyProtection="1">
      <alignment horizontal="center" vertical="center"/>
      <protection hidden="1"/>
    </xf>
    <xf numFmtId="9" fontId="4" fillId="0" borderId="36" xfId="2" applyFont="1" applyFill="1" applyBorder="1" applyAlignment="1" applyProtection="1">
      <alignment horizontal="center" vertical="center"/>
      <protection hidden="1"/>
    </xf>
    <xf numFmtId="9" fontId="4" fillId="0" borderId="50" xfId="2" applyFont="1" applyFill="1" applyBorder="1" applyAlignment="1" applyProtection="1">
      <alignment horizontal="center" vertical="center"/>
      <protection hidden="1"/>
    </xf>
    <xf numFmtId="9" fontId="3" fillId="12" borderId="0" xfId="0" applyNumberFormat="1" applyFont="1" applyFill="1" applyBorder="1" applyAlignment="1" applyProtection="1">
      <alignment horizontal="center" vertical="center"/>
      <protection locked="0"/>
    </xf>
    <xf numFmtId="9" fontId="3" fillId="12" borderId="36" xfId="0" applyNumberFormat="1" applyFont="1" applyFill="1" applyBorder="1" applyAlignment="1" applyProtection="1">
      <alignment horizontal="center" vertical="center"/>
      <protection locked="0"/>
    </xf>
    <xf numFmtId="164" fontId="4" fillId="12" borderId="0" xfId="1" applyNumberFormat="1" applyFont="1" applyFill="1" applyBorder="1" applyAlignment="1" applyProtection="1">
      <alignment horizontal="center"/>
      <protection locked="0"/>
    </xf>
    <xf numFmtId="164" fontId="4" fillId="12" borderId="51" xfId="1" applyNumberFormat="1" applyFont="1" applyFill="1" applyBorder="1" applyAlignment="1" applyProtection="1">
      <alignment horizontal="center"/>
      <protection locked="0"/>
    </xf>
    <xf numFmtId="0" fontId="14" fillId="0" borderId="0" xfId="0" applyFont="1" applyProtection="1">
      <protection hidden="1"/>
    </xf>
    <xf numFmtId="0" fontId="19" fillId="3" borderId="41" xfId="0" applyFont="1" applyFill="1" applyBorder="1" applyProtection="1">
      <protection hidden="1"/>
    </xf>
    <xf numFmtId="0" fontId="19" fillId="3" borderId="24" xfId="0" applyFont="1" applyFill="1" applyBorder="1" applyAlignment="1" applyProtection="1">
      <alignment horizontal="center"/>
      <protection hidden="1"/>
    </xf>
    <xf numFmtId="0" fontId="3" fillId="0" borderId="43" xfId="0" applyFont="1" applyBorder="1" applyProtection="1">
      <protection hidden="1"/>
    </xf>
    <xf numFmtId="2" fontId="4" fillId="0" borderId="2" xfId="1" applyNumberFormat="1" applyFont="1" applyFill="1" applyBorder="1" applyAlignment="1" applyProtection="1">
      <alignment horizontal="center"/>
      <protection hidden="1"/>
    </xf>
    <xf numFmtId="0" fontId="0" fillId="0" borderId="0" xfId="0" applyFill="1" applyBorder="1" applyProtection="1">
      <protection hidden="1"/>
    </xf>
    <xf numFmtId="0" fontId="0" fillId="0" borderId="43" xfId="0" applyBorder="1" applyProtection="1">
      <protection hidden="1"/>
    </xf>
    <xf numFmtId="0" fontId="0" fillId="0" borderId="49" xfId="0" applyBorder="1" applyProtection="1">
      <protection hidden="1"/>
    </xf>
    <xf numFmtId="0" fontId="15" fillId="0" borderId="59" xfId="0" applyFont="1" applyBorder="1" applyProtection="1">
      <protection hidden="1"/>
    </xf>
    <xf numFmtId="43" fontId="15" fillId="0" borderId="60" xfId="1" applyFont="1" applyBorder="1" applyAlignment="1" applyProtection="1">
      <alignment horizontal="center" vertical="center"/>
      <protection hidden="1"/>
    </xf>
    <xf numFmtId="0" fontId="19" fillId="3" borderId="43" xfId="0" applyFont="1" applyFill="1" applyBorder="1" applyProtection="1">
      <protection hidden="1"/>
    </xf>
    <xf numFmtId="0" fontId="19" fillId="3" borderId="49" xfId="0" applyFont="1" applyFill="1" applyBorder="1" applyAlignment="1" applyProtection="1">
      <alignment horizontal="center"/>
      <protection hidden="1"/>
    </xf>
    <xf numFmtId="0" fontId="15" fillId="0" borderId="61" xfId="0" applyFont="1" applyBorder="1" applyProtection="1">
      <protection hidden="1"/>
    </xf>
    <xf numFmtId="43" fontId="12" fillId="0" borderId="62" xfId="0" applyNumberFormat="1" applyFont="1" applyBorder="1" applyProtection="1">
      <protection hidden="1"/>
    </xf>
    <xf numFmtId="0" fontId="15" fillId="0" borderId="0" xfId="0" applyFont="1" applyBorder="1" applyProtection="1">
      <protection hidden="1"/>
    </xf>
    <xf numFmtId="43" fontId="12" fillId="0" borderId="0" xfId="0" applyNumberFormat="1" applyFont="1" applyBorder="1" applyProtection="1">
      <protection hidden="1"/>
    </xf>
    <xf numFmtId="0" fontId="15" fillId="0" borderId="43" xfId="0" applyFont="1" applyFill="1" applyBorder="1" applyProtection="1">
      <protection hidden="1"/>
    </xf>
    <xf numFmtId="43" fontId="15" fillId="0" borderId="49" xfId="0" applyNumberFormat="1" applyFont="1" applyBorder="1" applyProtection="1">
      <protection hidden="1"/>
    </xf>
    <xf numFmtId="0" fontId="3" fillId="0" borderId="43" xfId="0" applyFont="1" applyFill="1" applyBorder="1" applyProtection="1">
      <protection hidden="1"/>
    </xf>
    <xf numFmtId="0" fontId="15" fillId="0" borderId="42" xfId="0" applyFont="1" applyFill="1" applyBorder="1" applyProtection="1">
      <protection hidden="1"/>
    </xf>
    <xf numFmtId="164" fontId="15" fillId="0" borderId="50" xfId="1" applyNumberFormat="1" applyFont="1" applyBorder="1" applyProtection="1">
      <protection hidden="1"/>
    </xf>
    <xf numFmtId="0" fontId="3" fillId="0" borderId="0" xfId="0" applyFont="1" applyBorder="1" applyProtection="1">
      <protection hidden="1"/>
    </xf>
    <xf numFmtId="9" fontId="3" fillId="0" borderId="49" xfId="2" applyFont="1" applyFill="1" applyBorder="1" applyAlignment="1" applyProtection="1">
      <alignment horizontal="center"/>
      <protection hidden="1"/>
    </xf>
    <xf numFmtId="0" fontId="3" fillId="0" borderId="42" xfId="0" applyFont="1" applyFill="1" applyBorder="1" applyProtection="1">
      <protection hidden="1"/>
    </xf>
    <xf numFmtId="9" fontId="3" fillId="0" borderId="50" xfId="2" applyFont="1" applyFill="1" applyBorder="1" applyAlignment="1" applyProtection="1">
      <alignment horizontal="center"/>
      <protection hidden="1"/>
    </xf>
    <xf numFmtId="0" fontId="14" fillId="0" borderId="0" xfId="0" applyFont="1" applyBorder="1" applyProtection="1">
      <protection hidden="1"/>
    </xf>
    <xf numFmtId="164" fontId="3" fillId="0" borderId="0" xfId="1" applyNumberFormat="1" applyFont="1" applyBorder="1" applyProtection="1">
      <protection hidden="1"/>
    </xf>
    <xf numFmtId="164" fontId="3" fillId="0" borderId="49" xfId="1" applyNumberFormat="1" applyFont="1" applyBorder="1" applyProtection="1">
      <protection hidden="1"/>
    </xf>
    <xf numFmtId="0" fontId="15" fillId="0" borderId="43" xfId="0" applyFont="1" applyBorder="1" applyProtection="1">
      <protection hidden="1"/>
    </xf>
    <xf numFmtId="164" fontId="15" fillId="0" borderId="0" xfId="1" applyNumberFormat="1" applyFont="1" applyBorder="1" applyProtection="1">
      <protection hidden="1"/>
    </xf>
    <xf numFmtId="0" fontId="3" fillId="0" borderId="41" xfId="0" applyFont="1" applyBorder="1" applyProtection="1">
      <protection hidden="1"/>
    </xf>
    <xf numFmtId="164" fontId="3" fillId="0" borderId="28" xfId="1" applyNumberFormat="1" applyFont="1" applyBorder="1" applyProtection="1">
      <protection hidden="1"/>
    </xf>
    <xf numFmtId="164" fontId="3" fillId="0" borderId="24" xfId="1" applyNumberFormat="1" applyFont="1" applyBorder="1" applyProtection="1">
      <protection hidden="1"/>
    </xf>
    <xf numFmtId="164" fontId="15" fillId="0" borderId="36" xfId="1" applyNumberFormat="1" applyFont="1" applyBorder="1" applyProtection="1">
      <protection hidden="1"/>
    </xf>
    <xf numFmtId="0" fontId="0" fillId="0" borderId="36" xfId="0" applyBorder="1" applyProtection="1">
      <protection hidden="1"/>
    </xf>
    <xf numFmtId="0" fontId="0" fillId="0" borderId="50" xfId="0" applyBorder="1" applyProtection="1">
      <protection hidden="1"/>
    </xf>
    <xf numFmtId="0" fontId="19" fillId="3" borderId="28" xfId="0" applyFont="1" applyFill="1" applyBorder="1" applyProtection="1">
      <protection hidden="1"/>
    </xf>
    <xf numFmtId="0" fontId="19" fillId="3" borderId="24" xfId="0" applyFont="1" applyFill="1" applyBorder="1" applyProtection="1">
      <protection hidden="1"/>
    </xf>
    <xf numFmtId="0" fontId="3" fillId="0" borderId="0" xfId="0" applyFont="1" applyProtection="1">
      <protection hidden="1"/>
    </xf>
    <xf numFmtId="43" fontId="4" fillId="12" borderId="49" xfId="1" applyFont="1" applyFill="1" applyBorder="1" applyAlignment="1" applyProtection="1">
      <alignment horizontal="center" vertical="center"/>
      <protection locked="0"/>
    </xf>
    <xf numFmtId="0" fontId="0" fillId="0" borderId="49" xfId="0" applyBorder="1" applyProtection="1">
      <protection locked="0"/>
    </xf>
    <xf numFmtId="164" fontId="4" fillId="12" borderId="49" xfId="1" applyNumberFormat="1" applyFont="1" applyFill="1" applyBorder="1" applyAlignment="1" applyProtection="1">
      <alignment horizontal="center" vertical="center"/>
      <protection locked="0"/>
    </xf>
    <xf numFmtId="164" fontId="3" fillId="12" borderId="0" xfId="1" applyNumberFormat="1" applyFont="1" applyFill="1" applyBorder="1" applyProtection="1">
      <protection locked="0"/>
    </xf>
    <xf numFmtId="0" fontId="0" fillId="12" borderId="43" xfId="0" applyFill="1" applyBorder="1" applyProtection="1">
      <protection locked="0"/>
    </xf>
    <xf numFmtId="0" fontId="0" fillId="12" borderId="0" xfId="0" applyFill="1" applyBorder="1" applyProtection="1">
      <protection locked="0"/>
    </xf>
    <xf numFmtId="0" fontId="0" fillId="12" borderId="49" xfId="0" applyFill="1" applyBorder="1" applyProtection="1">
      <protection locked="0"/>
    </xf>
    <xf numFmtId="0" fontId="0" fillId="12" borderId="42" xfId="0" applyFill="1" applyBorder="1" applyProtection="1">
      <protection locked="0"/>
    </xf>
    <xf numFmtId="0" fontId="0" fillId="12" borderId="36" xfId="0" applyFill="1" applyBorder="1" applyProtection="1">
      <protection locked="0"/>
    </xf>
    <xf numFmtId="0" fontId="0" fillId="12" borderId="50" xfId="0" applyFill="1" applyBorder="1" applyProtection="1">
      <protection locked="0"/>
    </xf>
    <xf numFmtId="0" fontId="5" fillId="3" borderId="65" xfId="0" applyFont="1" applyFill="1" applyBorder="1" applyAlignment="1" applyProtection="1">
      <alignment horizontal="center" wrapText="1"/>
      <protection hidden="1"/>
    </xf>
    <xf numFmtId="0" fontId="5" fillId="3" borderId="46" xfId="0" applyFont="1" applyFill="1" applyBorder="1" applyAlignment="1" applyProtection="1">
      <alignment horizontal="center" wrapText="1"/>
      <protection hidden="1"/>
    </xf>
    <xf numFmtId="0" fontId="5" fillId="3" borderId="66" xfId="0" applyFont="1" applyFill="1" applyBorder="1" applyAlignment="1" applyProtection="1">
      <alignment horizontal="center" wrapText="1"/>
      <protection hidden="1"/>
    </xf>
    <xf numFmtId="0" fontId="5" fillId="3" borderId="67" xfId="0" applyFont="1" applyFill="1" applyBorder="1" applyAlignment="1" applyProtection="1">
      <alignment horizontal="center" wrapText="1"/>
      <protection hidden="1"/>
    </xf>
    <xf numFmtId="0" fontId="5" fillId="4" borderId="67" xfId="0" applyFont="1" applyFill="1" applyBorder="1" applyAlignment="1" applyProtection="1">
      <alignment horizontal="center" vertical="center"/>
      <protection hidden="1"/>
    </xf>
    <xf numFmtId="0" fontId="3" fillId="0" borderId="67" xfId="0" applyFont="1" applyBorder="1" applyAlignment="1" applyProtection="1">
      <alignment horizontal="center"/>
      <protection hidden="1"/>
    </xf>
    <xf numFmtId="0" fontId="3" fillId="0" borderId="69" xfId="0" applyFont="1" applyBorder="1" applyAlignment="1" applyProtection="1">
      <alignment horizontal="center"/>
      <protection hidden="1"/>
    </xf>
    <xf numFmtId="43" fontId="4" fillId="0" borderId="68" xfId="1" applyFont="1" applyFill="1" applyBorder="1" applyAlignment="1" applyProtection="1">
      <alignment horizontal="center" vertical="center"/>
      <protection hidden="1"/>
    </xf>
    <xf numFmtId="43" fontId="4" fillId="0" borderId="51" xfId="1" applyFont="1" applyFill="1" applyBorder="1" applyAlignment="1" applyProtection="1">
      <alignment horizontal="center" vertical="center"/>
      <protection hidden="1"/>
    </xf>
    <xf numFmtId="43" fontId="4" fillId="0" borderId="70" xfId="1" applyFont="1" applyFill="1" applyBorder="1" applyAlignment="1" applyProtection="1">
      <alignment horizontal="center" vertical="center"/>
      <protection hidden="1"/>
    </xf>
    <xf numFmtId="0" fontId="2" fillId="12" borderId="2" xfId="0" applyNumberFormat="1" applyFont="1" applyFill="1" applyBorder="1" applyAlignment="1" applyProtection="1">
      <alignment horizontal="center" vertical="center"/>
      <protection locked="0"/>
    </xf>
    <xf numFmtId="0" fontId="16" fillId="0" borderId="65" xfId="0" applyFont="1" applyBorder="1" applyProtection="1">
      <protection hidden="1"/>
    </xf>
    <xf numFmtId="0" fontId="16" fillId="0" borderId="46" xfId="0" applyFont="1" applyBorder="1" applyProtection="1">
      <protection hidden="1"/>
    </xf>
    <xf numFmtId="0" fontId="16" fillId="0" borderId="66" xfId="0" applyFont="1" applyBorder="1" applyProtection="1">
      <protection hidden="1"/>
    </xf>
    <xf numFmtId="0" fontId="3" fillId="0" borderId="67" xfId="0" applyFont="1" applyBorder="1" applyProtection="1">
      <protection hidden="1"/>
    </xf>
    <xf numFmtId="164" fontId="3" fillId="0" borderId="68" xfId="1" applyNumberFormat="1" applyFont="1" applyBorder="1" applyProtection="1">
      <protection hidden="1"/>
    </xf>
    <xf numFmtId="164" fontId="3" fillId="12" borderId="68" xfId="1" applyNumberFormat="1" applyFont="1" applyFill="1" applyBorder="1" applyProtection="1">
      <protection locked="0"/>
    </xf>
    <xf numFmtId="0" fontId="15" fillId="0" borderId="67" xfId="0" applyFont="1" applyBorder="1" applyProtection="1">
      <protection hidden="1"/>
    </xf>
    <xf numFmtId="164" fontId="15" fillId="0" borderId="68" xfId="1" applyNumberFormat="1" applyFont="1" applyBorder="1" applyProtection="1">
      <protection hidden="1"/>
    </xf>
    <xf numFmtId="0" fontId="0" fillId="0" borderId="67" xfId="0" applyBorder="1" applyProtection="1">
      <protection hidden="1"/>
    </xf>
    <xf numFmtId="0" fontId="0" fillId="0" borderId="68" xfId="0" applyBorder="1" applyProtection="1">
      <protection hidden="1"/>
    </xf>
    <xf numFmtId="0" fontId="3" fillId="0" borderId="69" xfId="0" applyFont="1" applyBorder="1" applyProtection="1">
      <protection hidden="1"/>
    </xf>
    <xf numFmtId="0" fontId="2" fillId="2" borderId="0" xfId="0" applyFont="1" applyFill="1" applyAlignment="1" applyProtection="1">
      <alignment wrapText="1"/>
      <protection hidden="1"/>
    </xf>
    <xf numFmtId="0" fontId="0" fillId="0" borderId="0" xfId="0" applyAlignment="1" applyProtection="1">
      <alignment wrapText="1"/>
      <protection hidden="1"/>
    </xf>
    <xf numFmtId="0" fontId="5" fillId="3" borderId="11" xfId="0" applyFont="1" applyFill="1" applyBorder="1" applyAlignment="1" applyProtection="1">
      <alignment horizontal="center" wrapText="1"/>
      <protection hidden="1"/>
    </xf>
    <xf numFmtId="0" fontId="5" fillId="3" borderId="12" xfId="0" applyFont="1" applyFill="1" applyBorder="1" applyAlignment="1" applyProtection="1">
      <alignment horizontal="center" wrapText="1"/>
      <protection hidden="1"/>
    </xf>
    <xf numFmtId="0" fontId="5" fillId="3" borderId="13" xfId="0" applyFont="1" applyFill="1" applyBorder="1" applyAlignment="1" applyProtection="1">
      <alignment horizontal="center" wrapText="1"/>
      <protection hidden="1"/>
    </xf>
    <xf numFmtId="0" fontId="3" fillId="8" borderId="19" xfId="0" applyFont="1" applyFill="1" applyBorder="1" applyAlignment="1" applyProtection="1">
      <alignment horizontal="center" vertical="center" wrapText="1"/>
      <protection hidden="1"/>
    </xf>
    <xf numFmtId="0" fontId="3" fillId="8" borderId="20" xfId="0" applyFont="1" applyFill="1" applyBorder="1" applyAlignment="1" applyProtection="1">
      <alignment horizontal="center" vertical="center" wrapText="1"/>
      <protection hidden="1"/>
    </xf>
    <xf numFmtId="0" fontId="3" fillId="9" borderId="19" xfId="0" applyFont="1" applyFill="1" applyBorder="1" applyAlignment="1" applyProtection="1">
      <alignment horizontal="center" vertical="center" wrapText="1"/>
      <protection hidden="1"/>
    </xf>
    <xf numFmtId="0" fontId="3" fillId="9" borderId="21" xfId="0" applyFont="1" applyFill="1" applyBorder="1" applyAlignment="1" applyProtection="1">
      <alignment horizontal="center" vertical="center" wrapText="1"/>
      <protection hidden="1"/>
    </xf>
    <xf numFmtId="0" fontId="3" fillId="9" borderId="20" xfId="0" applyFont="1" applyFill="1" applyBorder="1" applyAlignment="1" applyProtection="1">
      <alignment horizontal="center" vertical="center" wrapText="1"/>
      <protection hidden="1"/>
    </xf>
    <xf numFmtId="0" fontId="18" fillId="13" borderId="39" xfId="0" applyFont="1" applyFill="1" applyBorder="1" applyAlignment="1" applyProtection="1">
      <alignment horizontal="center" vertical="center" wrapText="1"/>
      <protection hidden="1"/>
    </xf>
    <xf numFmtId="0" fontId="17" fillId="13" borderId="40" xfId="0" applyFont="1" applyFill="1" applyBorder="1" applyAlignment="1" applyProtection="1">
      <alignment horizontal="center" vertical="center" wrapText="1"/>
      <protection hidden="1"/>
    </xf>
    <xf numFmtId="0" fontId="17" fillId="13" borderId="57" xfId="0" applyFont="1" applyFill="1" applyBorder="1" applyAlignment="1" applyProtection="1">
      <alignment horizontal="center" vertical="center" wrapText="1"/>
      <protection hidden="1"/>
    </xf>
    <xf numFmtId="0" fontId="21" fillId="2" borderId="0" xfId="0" applyFont="1" applyFill="1" applyAlignment="1" applyProtection="1">
      <alignment wrapText="1"/>
      <protection hidden="1"/>
    </xf>
    <xf numFmtId="0" fontId="22" fillId="0" borderId="0" xfId="0" applyFont="1" applyAlignment="1" applyProtection="1">
      <alignment wrapText="1"/>
      <protection hidden="1"/>
    </xf>
    <xf numFmtId="0" fontId="5" fillId="3" borderId="27" xfId="0" applyFont="1" applyFill="1" applyBorder="1" applyAlignment="1" applyProtection="1">
      <alignment horizontal="center" wrapText="1"/>
      <protection hidden="1"/>
    </xf>
    <xf numFmtId="0" fontId="5" fillId="3" borderId="28" xfId="0" applyFont="1" applyFill="1" applyBorder="1" applyAlignment="1" applyProtection="1">
      <alignment horizontal="center" wrapText="1"/>
      <protection hidden="1"/>
    </xf>
    <xf numFmtId="0" fontId="5" fillId="3" borderId="24" xfId="0" applyFont="1" applyFill="1" applyBorder="1" applyAlignment="1" applyProtection="1">
      <alignment horizontal="center" wrapText="1"/>
      <protection hidden="1"/>
    </xf>
    <xf numFmtId="0" fontId="3" fillId="8" borderId="41" xfId="0" applyFont="1" applyFill="1" applyBorder="1" applyAlignment="1" applyProtection="1">
      <alignment horizontal="center" wrapText="1"/>
      <protection hidden="1"/>
    </xf>
    <xf numFmtId="0" fontId="3" fillId="8" borderId="42" xfId="0" applyFont="1" applyFill="1" applyBorder="1" applyAlignment="1" applyProtection="1">
      <alignment horizontal="center" wrapText="1"/>
      <protection hidden="1"/>
    </xf>
    <xf numFmtId="0" fontId="3" fillId="9" borderId="41" xfId="0" applyFont="1" applyFill="1" applyBorder="1" applyAlignment="1" applyProtection="1">
      <alignment horizontal="center" vertical="center" wrapText="1"/>
      <protection hidden="1"/>
    </xf>
    <xf numFmtId="0" fontId="3" fillId="9" borderId="43" xfId="0" applyFont="1" applyFill="1" applyBorder="1" applyAlignment="1" applyProtection="1">
      <alignment horizontal="center" vertical="center" wrapText="1"/>
      <protection hidden="1"/>
    </xf>
    <xf numFmtId="0" fontId="3" fillId="9" borderId="42" xfId="0" applyFont="1" applyFill="1" applyBorder="1" applyAlignment="1" applyProtection="1">
      <alignment horizontal="center" vertical="center" wrapText="1"/>
      <protection hidden="1"/>
    </xf>
    <xf numFmtId="0" fontId="5" fillId="3" borderId="30" xfId="0" applyFont="1" applyFill="1" applyBorder="1" applyAlignment="1" applyProtection="1">
      <alignment horizontal="center" vertical="center" wrapText="1"/>
      <protection hidden="1"/>
    </xf>
    <xf numFmtId="0" fontId="5" fillId="3" borderId="40"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center" vertical="center" wrapText="1"/>
      <protection hidden="1"/>
    </xf>
    <xf numFmtId="0" fontId="5" fillId="3" borderId="44" xfId="0" applyFont="1" applyFill="1" applyBorder="1" applyAlignment="1" applyProtection="1">
      <alignment horizontal="center" wrapText="1"/>
      <protection hidden="1"/>
    </xf>
    <xf numFmtId="0" fontId="5" fillId="3" borderId="38" xfId="0" applyFont="1" applyFill="1" applyBorder="1" applyAlignment="1" applyProtection="1">
      <alignment horizontal="center" wrapText="1"/>
      <protection hidden="1"/>
    </xf>
    <xf numFmtId="0" fontId="5" fillId="3" borderId="14" xfId="0" applyFont="1" applyFill="1" applyBorder="1" applyAlignment="1" applyProtection="1">
      <alignment horizontal="center" wrapText="1"/>
      <protection hidden="1"/>
    </xf>
    <xf numFmtId="0" fontId="3" fillId="8" borderId="19" xfId="0" applyFont="1" applyFill="1" applyBorder="1" applyAlignment="1" applyProtection="1">
      <alignment horizontal="center" wrapText="1"/>
      <protection hidden="1"/>
    </xf>
    <xf numFmtId="0" fontId="3" fillId="8" borderId="20" xfId="0" applyFont="1" applyFill="1" applyBorder="1" applyAlignment="1" applyProtection="1">
      <alignment horizontal="center" wrapText="1"/>
      <protection hidden="1"/>
    </xf>
    <xf numFmtId="0" fontId="5" fillId="3" borderId="25" xfId="0" applyFont="1" applyFill="1" applyBorder="1" applyAlignment="1" applyProtection="1">
      <alignment horizontal="center"/>
      <protection hidden="1"/>
    </xf>
    <xf numFmtId="0" fontId="5" fillId="3" borderId="26" xfId="0" applyFont="1" applyFill="1" applyBorder="1" applyAlignment="1" applyProtection="1">
      <alignment horizontal="center"/>
      <protection hidden="1"/>
    </xf>
    <xf numFmtId="0" fontId="5" fillId="3" borderId="29" xfId="0" applyFont="1" applyFill="1" applyBorder="1" applyAlignment="1" applyProtection="1">
      <alignment horizontal="center"/>
      <protection hidden="1"/>
    </xf>
    <xf numFmtId="0" fontId="5" fillId="3" borderId="30" xfId="0" applyFont="1" applyFill="1" applyBorder="1" applyAlignment="1" applyProtection="1">
      <alignment horizontal="center" wrapText="1"/>
      <protection hidden="1"/>
    </xf>
    <xf numFmtId="0" fontId="5" fillId="3" borderId="15" xfId="0" applyFont="1" applyFill="1" applyBorder="1" applyAlignment="1" applyProtection="1">
      <alignment horizontal="center" wrapText="1"/>
      <protection hidden="1"/>
    </xf>
    <xf numFmtId="0" fontId="13" fillId="2" borderId="0" xfId="0" applyFont="1" applyFill="1" applyAlignment="1">
      <alignment horizontal="center"/>
    </xf>
    <xf numFmtId="0" fontId="13" fillId="2" borderId="0" xfId="0" applyFont="1" applyFill="1" applyAlignment="1" applyProtection="1">
      <alignment horizontal="center"/>
      <protection hidden="1"/>
    </xf>
    <xf numFmtId="0" fontId="5" fillId="3" borderId="37"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3" borderId="14" xfId="0" applyFont="1" applyFill="1" applyBorder="1" applyAlignment="1" applyProtection="1">
      <alignment horizontal="center"/>
      <protection hidden="1"/>
    </xf>
    <xf numFmtId="0" fontId="5" fillId="3" borderId="39" xfId="0" applyFont="1" applyFill="1" applyBorder="1" applyAlignment="1" applyProtection="1">
      <alignment horizontal="center" vertical="center" wrapText="1"/>
      <protection hidden="1"/>
    </xf>
    <xf numFmtId="0" fontId="3" fillId="2" borderId="43"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5" fillId="3" borderId="0" xfId="0" applyFont="1" applyFill="1" applyBorder="1" applyAlignment="1" applyProtection="1">
      <alignment horizontal="center" vertical="center" wrapText="1"/>
      <protection hidden="1"/>
    </xf>
    <xf numFmtId="0" fontId="5" fillId="3" borderId="43"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3" fillId="0" borderId="65" xfId="0" applyFont="1" applyFill="1"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3" fillId="0" borderId="67" xfId="0" applyFont="1" applyFill="1" applyBorder="1" applyAlignment="1" applyProtection="1">
      <alignment horizontal="center" vertical="center" wrapText="1"/>
      <protection hidden="1"/>
    </xf>
    <xf numFmtId="166" fontId="16" fillId="0" borderId="49" xfId="0" applyNumberFormat="1" applyFont="1"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5" fillId="3" borderId="28"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9" fillId="14" borderId="48" xfId="0" applyFont="1" applyFill="1" applyBorder="1" applyAlignment="1" applyProtection="1">
      <alignment horizontal="center"/>
      <protection hidden="1"/>
    </xf>
    <xf numFmtId="0" fontId="19" fillId="14" borderId="63" xfId="0" applyFont="1" applyFill="1" applyBorder="1" applyAlignment="1" applyProtection="1">
      <alignment horizontal="center"/>
      <protection hidden="1"/>
    </xf>
    <xf numFmtId="0" fontId="19" fillId="14" borderId="64" xfId="0" applyFont="1" applyFill="1" applyBorder="1" applyAlignment="1" applyProtection="1">
      <alignment horizontal="center"/>
      <protection hidden="1"/>
    </xf>
    <xf numFmtId="0" fontId="19" fillId="14" borderId="71" xfId="0" applyFont="1" applyFill="1" applyBorder="1" applyAlignment="1" applyProtection="1">
      <alignment horizontal="center"/>
      <protection hidden="1"/>
    </xf>
    <xf numFmtId="0" fontId="19" fillId="14" borderId="72" xfId="0" applyFont="1" applyFill="1" applyBorder="1" applyAlignment="1" applyProtection="1">
      <alignment horizontal="center"/>
      <protection hidden="1"/>
    </xf>
    <xf numFmtId="0" fontId="19" fillId="14" borderId="73" xfId="0" applyFont="1" applyFill="1" applyBorder="1" applyAlignment="1" applyProtection="1">
      <alignment horizontal="center"/>
      <protection hidden="1"/>
    </xf>
    <xf numFmtId="0" fontId="3" fillId="8" borderId="43" xfId="0" applyFont="1" applyFill="1" applyBorder="1" applyAlignment="1" applyProtection="1">
      <alignment horizontal="center" wrapText="1"/>
      <protection hidden="1"/>
    </xf>
    <xf numFmtId="0" fontId="5" fillId="3" borderId="74" xfId="0" applyFont="1" applyFill="1" applyBorder="1" applyAlignment="1" applyProtection="1">
      <alignment horizontal="center" wrapText="1"/>
      <protection hidden="1"/>
    </xf>
    <xf numFmtId="0" fontId="0" fillId="0" borderId="67"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3" fillId="9" borderId="28"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vertical="center" wrapText="1"/>
      <protection hidden="1"/>
    </xf>
    <xf numFmtId="0" fontId="0" fillId="0" borderId="0" xfId="0" applyAlignment="1" applyProtection="1">
      <protection hidden="1"/>
    </xf>
    <xf numFmtId="0" fontId="5" fillId="3" borderId="41" xfId="0" applyFont="1" applyFill="1"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3" fillId="0" borderId="0" xfId="0" applyFont="1" applyBorder="1" applyAlignment="1" applyProtection="1">
      <alignment wrapText="1"/>
      <protection hidden="1"/>
    </xf>
    <xf numFmtId="10" fontId="3" fillId="12" borderId="0" xfId="0" applyNumberFormat="1"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9">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DE4D5-A19D-4C65-A35C-8961A1A24FCD}">
  <dimension ref="A1:N613"/>
  <sheetViews>
    <sheetView showGridLines="0" tabSelected="1" topLeftCell="A4" zoomScale="70" zoomScaleNormal="70" workbookViewId="0">
      <selection activeCell="I13" sqref="I13"/>
    </sheetView>
  </sheetViews>
  <sheetFormatPr defaultColWidth="8.7265625" defaultRowHeight="14.5" x14ac:dyDescent="0.35"/>
  <cols>
    <col min="1" max="1" width="10.81640625" style="36" customWidth="1"/>
    <col min="2" max="2" width="7" style="42" customWidth="1"/>
    <col min="3" max="3" width="11.26953125" style="42" customWidth="1"/>
    <col min="4" max="4" width="7" style="42" customWidth="1"/>
    <col min="5" max="5" width="16.1796875" style="42" customWidth="1"/>
    <col min="6" max="7" width="13.1796875" style="42" customWidth="1"/>
    <col min="8" max="9" width="18.1796875" style="42" customWidth="1"/>
    <col min="10" max="10" width="19.7265625" style="42" customWidth="1"/>
    <col min="11" max="11" width="24.54296875" style="42" customWidth="1"/>
    <col min="12" max="12" width="18" style="36" customWidth="1"/>
    <col min="13" max="13" width="8.7265625" style="36"/>
    <col min="14" max="14" width="10.1796875" style="36" bestFit="1" customWidth="1"/>
    <col min="15" max="16384" width="8.7265625" style="36"/>
  </cols>
  <sheetData>
    <row r="1" spans="1:14" x14ac:dyDescent="0.35">
      <c r="B1" s="36"/>
      <c r="C1" s="36"/>
      <c r="D1" s="36"/>
      <c r="E1" s="36"/>
      <c r="F1" s="36"/>
      <c r="G1" s="36"/>
      <c r="H1" s="36"/>
      <c r="I1" s="36"/>
      <c r="J1" s="36"/>
      <c r="K1" s="36"/>
    </row>
    <row r="2" spans="1:14" x14ac:dyDescent="0.35">
      <c r="B2" s="36"/>
      <c r="C2" s="36"/>
      <c r="D2" s="36"/>
      <c r="E2" s="36"/>
      <c r="F2" s="36"/>
      <c r="G2" s="36"/>
      <c r="H2" s="36"/>
      <c r="I2" s="36"/>
      <c r="J2" s="36"/>
      <c r="K2" s="36"/>
    </row>
    <row r="3" spans="1:14" ht="15" thickBot="1" x14ac:dyDescent="0.4">
      <c r="B3" s="36"/>
      <c r="C3" s="36"/>
      <c r="D3" s="36"/>
      <c r="E3" s="36"/>
      <c r="F3" s="36"/>
      <c r="G3" s="36"/>
      <c r="H3" s="36"/>
      <c r="I3" s="36"/>
      <c r="J3" s="36"/>
      <c r="K3" s="36"/>
    </row>
    <row r="4" spans="1:14" ht="35.5" x14ac:dyDescent="0.35">
      <c r="B4" s="43"/>
      <c r="C4" s="44"/>
      <c r="D4" s="44"/>
      <c r="E4" s="45" t="s">
        <v>199</v>
      </c>
      <c r="F4" s="324" t="s">
        <v>31</v>
      </c>
      <c r="G4" s="326"/>
      <c r="H4" s="324" t="s">
        <v>24</v>
      </c>
      <c r="I4" s="325"/>
      <c r="J4" s="325"/>
      <c r="K4" s="326"/>
      <c r="L4" s="46" t="s">
        <v>36</v>
      </c>
    </row>
    <row r="5" spans="1:14" x14ac:dyDescent="0.35">
      <c r="B5" s="47"/>
      <c r="C5" s="48"/>
      <c r="D5" s="48"/>
      <c r="E5" s="49"/>
      <c r="F5" s="49" t="s">
        <v>32</v>
      </c>
      <c r="G5" s="49" t="s">
        <v>23</v>
      </c>
      <c r="H5" s="50" t="s">
        <v>273</v>
      </c>
      <c r="I5" s="51" t="s">
        <v>26</v>
      </c>
      <c r="J5" s="51" t="s">
        <v>27</v>
      </c>
      <c r="K5" s="49" t="s">
        <v>28</v>
      </c>
      <c r="L5" s="52"/>
    </row>
    <row r="6" spans="1:14" x14ac:dyDescent="0.35">
      <c r="B6" s="53"/>
      <c r="C6" s="54"/>
      <c r="D6" s="54"/>
      <c r="E6" s="50" t="s">
        <v>22</v>
      </c>
      <c r="F6" s="50" t="s">
        <v>35</v>
      </c>
      <c r="G6" s="50" t="s">
        <v>35</v>
      </c>
      <c r="H6" s="50" t="s">
        <v>77</v>
      </c>
      <c r="I6" s="50" t="s">
        <v>77</v>
      </c>
      <c r="J6" s="50" t="s">
        <v>77</v>
      </c>
      <c r="K6" s="50" t="s">
        <v>77</v>
      </c>
      <c r="L6" s="55" t="s">
        <v>77</v>
      </c>
    </row>
    <row r="7" spans="1:14" ht="28.5" customHeight="1" x14ac:dyDescent="0.35">
      <c r="B7" s="56" t="s">
        <v>0</v>
      </c>
      <c r="C7" s="57"/>
      <c r="D7" s="57" t="s">
        <v>0</v>
      </c>
      <c r="E7" s="50" t="s">
        <v>21</v>
      </c>
      <c r="F7" s="50" t="s">
        <v>33</v>
      </c>
      <c r="G7" s="50" t="s">
        <v>34</v>
      </c>
      <c r="H7" s="50" t="s">
        <v>25</v>
      </c>
      <c r="I7" s="50" t="s">
        <v>37</v>
      </c>
      <c r="J7" s="50" t="s">
        <v>38</v>
      </c>
      <c r="K7" s="58" t="s">
        <v>120</v>
      </c>
      <c r="L7" s="55" t="s">
        <v>39</v>
      </c>
    </row>
    <row r="8" spans="1:14" ht="15" thickBot="1" x14ac:dyDescent="0.4">
      <c r="B8" s="59"/>
      <c r="C8" s="60"/>
      <c r="D8" s="60"/>
      <c r="E8" s="61"/>
      <c r="F8" s="61"/>
      <c r="G8" s="61"/>
      <c r="H8" s="61"/>
      <c r="I8" s="61"/>
      <c r="J8" s="61"/>
      <c r="K8" s="61"/>
      <c r="L8" s="62"/>
    </row>
    <row r="9" spans="1:14" x14ac:dyDescent="0.35">
      <c r="A9" s="327" t="s">
        <v>29</v>
      </c>
      <c r="B9" s="63">
        <v>1</v>
      </c>
      <c r="C9" s="332" t="s">
        <v>208</v>
      </c>
      <c r="D9" s="64">
        <v>1</v>
      </c>
      <c r="E9" s="65">
        <f>100*1000000*0.00454609</f>
        <v>454609</v>
      </c>
      <c r="F9" s="65">
        <f>365*24/2</f>
        <v>4380</v>
      </c>
      <c r="G9" s="65">
        <f>365*24/2</f>
        <v>4380</v>
      </c>
      <c r="H9" s="65">
        <f>E9*4</f>
        <v>1818436</v>
      </c>
      <c r="I9" s="65">
        <f>E9*2</f>
        <v>909218</v>
      </c>
      <c r="J9" s="65">
        <f>E9*4</f>
        <v>1818436</v>
      </c>
      <c r="K9" s="66">
        <f>J9+I9+H9</f>
        <v>4546090</v>
      </c>
      <c r="L9" s="67">
        <f>E9/24*(F9+G9)-K9</f>
        <v>161386195</v>
      </c>
      <c r="N9" s="37"/>
    </row>
    <row r="10" spans="1:14" ht="15" thickBot="1" x14ac:dyDescent="0.4">
      <c r="A10" s="328"/>
      <c r="B10" s="63">
        <v>1.5</v>
      </c>
      <c r="C10" s="333"/>
      <c r="D10" s="64">
        <v>1.5</v>
      </c>
      <c r="E10" s="65">
        <f>E9</f>
        <v>454609</v>
      </c>
      <c r="F10" s="65">
        <f>F9*0.5</f>
        <v>2190</v>
      </c>
      <c r="G10" s="65">
        <f>G9*0.5</f>
        <v>2190</v>
      </c>
      <c r="H10" s="65">
        <f>$H$9*0.5</f>
        <v>909218</v>
      </c>
      <c r="I10" s="65">
        <f>$I$9*0.5</f>
        <v>454609</v>
      </c>
      <c r="J10" s="65">
        <f>$J$9*0.5</f>
        <v>909218</v>
      </c>
      <c r="K10" s="66">
        <f t="shared" ref="K10:K25" si="0">J10+I10+H10</f>
        <v>2273045</v>
      </c>
      <c r="L10" s="67">
        <f t="shared" ref="L10:L25" si="1">E10/24*(F10+G10)-K10</f>
        <v>80693097.5</v>
      </c>
      <c r="N10" s="38"/>
    </row>
    <row r="11" spans="1:14" x14ac:dyDescent="0.35">
      <c r="A11" s="329" t="s">
        <v>30</v>
      </c>
      <c r="B11" s="63">
        <v>1</v>
      </c>
      <c r="C11" s="333"/>
      <c r="D11" s="64">
        <f>D10+1</f>
        <v>2.5</v>
      </c>
      <c r="E11" s="65">
        <f>E9</f>
        <v>454609</v>
      </c>
      <c r="F11" s="65">
        <f>F9</f>
        <v>4380</v>
      </c>
      <c r="G11" s="65">
        <f>G9</f>
        <v>4380</v>
      </c>
      <c r="H11" s="34">
        <v>0</v>
      </c>
      <c r="I11" s="34">
        <v>0</v>
      </c>
      <c r="J11" s="34">
        <v>0</v>
      </c>
      <c r="K11" s="68">
        <f t="shared" si="0"/>
        <v>0</v>
      </c>
      <c r="L11" s="67">
        <f t="shared" si="1"/>
        <v>165932285</v>
      </c>
    </row>
    <row r="12" spans="1:14" x14ac:dyDescent="0.35">
      <c r="A12" s="330"/>
      <c r="B12" s="63">
        <f t="shared" ref="B12:B25" si="2">B11+1</f>
        <v>2</v>
      </c>
      <c r="C12" s="333"/>
      <c r="D12" s="64">
        <f t="shared" ref="D12:D25" si="3">D11+1</f>
        <v>3.5</v>
      </c>
      <c r="E12" s="65">
        <f>E11</f>
        <v>454609</v>
      </c>
      <c r="F12" s="65">
        <f t="shared" ref="F12:F24" si="4">F11</f>
        <v>4380</v>
      </c>
      <c r="G12" s="65">
        <f t="shared" ref="G12:G24" si="5">G11</f>
        <v>4380</v>
      </c>
      <c r="H12" s="34">
        <v>0</v>
      </c>
      <c r="I12" s="34">
        <v>0</v>
      </c>
      <c r="J12" s="34">
        <v>0</v>
      </c>
      <c r="K12" s="68">
        <f t="shared" si="0"/>
        <v>0</v>
      </c>
      <c r="L12" s="67">
        <f t="shared" si="1"/>
        <v>165932285</v>
      </c>
    </row>
    <row r="13" spans="1:14" x14ac:dyDescent="0.35">
      <c r="A13" s="330"/>
      <c r="B13" s="63">
        <f t="shared" si="2"/>
        <v>3</v>
      </c>
      <c r="C13" s="333"/>
      <c r="D13" s="64">
        <f t="shared" si="3"/>
        <v>4.5</v>
      </c>
      <c r="E13" s="65">
        <f t="shared" ref="E13:E24" si="6">E12</f>
        <v>454609</v>
      </c>
      <c r="F13" s="65">
        <f t="shared" si="4"/>
        <v>4380</v>
      </c>
      <c r="G13" s="65">
        <f t="shared" si="5"/>
        <v>4380</v>
      </c>
      <c r="H13" s="34">
        <v>0</v>
      </c>
      <c r="I13" s="34">
        <v>0</v>
      </c>
      <c r="J13" s="34">
        <v>0</v>
      </c>
      <c r="K13" s="68">
        <f t="shared" si="0"/>
        <v>0</v>
      </c>
      <c r="L13" s="67">
        <f t="shared" si="1"/>
        <v>165932285</v>
      </c>
    </row>
    <row r="14" spans="1:14" x14ac:dyDescent="0.35">
      <c r="A14" s="330"/>
      <c r="B14" s="63">
        <f t="shared" si="2"/>
        <v>4</v>
      </c>
      <c r="C14" s="333"/>
      <c r="D14" s="64">
        <f t="shared" si="3"/>
        <v>5.5</v>
      </c>
      <c r="E14" s="65">
        <f t="shared" si="6"/>
        <v>454609</v>
      </c>
      <c r="F14" s="65">
        <f t="shared" si="4"/>
        <v>4380</v>
      </c>
      <c r="G14" s="65">
        <f t="shared" si="5"/>
        <v>4380</v>
      </c>
      <c r="H14" s="34">
        <v>0</v>
      </c>
      <c r="I14" s="34">
        <v>0</v>
      </c>
      <c r="J14" s="34">
        <v>0</v>
      </c>
      <c r="K14" s="68">
        <f t="shared" si="0"/>
        <v>0</v>
      </c>
      <c r="L14" s="67">
        <f t="shared" si="1"/>
        <v>165932285</v>
      </c>
    </row>
    <row r="15" spans="1:14" x14ac:dyDescent="0.35">
      <c r="A15" s="330"/>
      <c r="B15" s="63">
        <f t="shared" si="2"/>
        <v>5</v>
      </c>
      <c r="C15" s="333"/>
      <c r="D15" s="64">
        <f t="shared" si="3"/>
        <v>6.5</v>
      </c>
      <c r="E15" s="65">
        <f t="shared" si="6"/>
        <v>454609</v>
      </c>
      <c r="F15" s="65">
        <f t="shared" si="4"/>
        <v>4380</v>
      </c>
      <c r="G15" s="65">
        <f t="shared" si="5"/>
        <v>4380</v>
      </c>
      <c r="H15" s="34">
        <v>0</v>
      </c>
      <c r="I15" s="34">
        <v>0</v>
      </c>
      <c r="J15" s="34">
        <v>0</v>
      </c>
      <c r="K15" s="68">
        <f t="shared" si="0"/>
        <v>0</v>
      </c>
      <c r="L15" s="67">
        <f t="shared" si="1"/>
        <v>165932285</v>
      </c>
    </row>
    <row r="16" spans="1:14" x14ac:dyDescent="0.35">
      <c r="A16" s="330"/>
      <c r="B16" s="63">
        <f t="shared" si="2"/>
        <v>6</v>
      </c>
      <c r="C16" s="333"/>
      <c r="D16" s="64">
        <f t="shared" si="3"/>
        <v>7.5</v>
      </c>
      <c r="E16" s="65">
        <f t="shared" si="6"/>
        <v>454609</v>
      </c>
      <c r="F16" s="65">
        <f t="shared" si="4"/>
        <v>4380</v>
      </c>
      <c r="G16" s="65">
        <f t="shared" si="5"/>
        <v>4380</v>
      </c>
      <c r="H16" s="34">
        <v>0</v>
      </c>
      <c r="I16" s="34">
        <v>0</v>
      </c>
      <c r="J16" s="34">
        <v>0</v>
      </c>
      <c r="K16" s="68">
        <f t="shared" si="0"/>
        <v>0</v>
      </c>
      <c r="L16" s="67">
        <f t="shared" si="1"/>
        <v>165932285</v>
      </c>
    </row>
    <row r="17" spans="1:12" x14ac:dyDescent="0.35">
      <c r="A17" s="330"/>
      <c r="B17" s="63">
        <f t="shared" si="2"/>
        <v>7</v>
      </c>
      <c r="C17" s="333"/>
      <c r="D17" s="64">
        <f t="shared" si="3"/>
        <v>8.5</v>
      </c>
      <c r="E17" s="65">
        <f t="shared" si="6"/>
        <v>454609</v>
      </c>
      <c r="F17" s="65">
        <f t="shared" si="4"/>
        <v>4380</v>
      </c>
      <c r="G17" s="65">
        <f t="shared" si="5"/>
        <v>4380</v>
      </c>
      <c r="H17" s="34">
        <v>0</v>
      </c>
      <c r="I17" s="34">
        <v>0</v>
      </c>
      <c r="J17" s="34">
        <v>0</v>
      </c>
      <c r="K17" s="68">
        <f t="shared" si="0"/>
        <v>0</v>
      </c>
      <c r="L17" s="67">
        <f t="shared" si="1"/>
        <v>165932285</v>
      </c>
    </row>
    <row r="18" spans="1:12" x14ac:dyDescent="0.35">
      <c r="A18" s="330"/>
      <c r="B18" s="63">
        <f t="shared" si="2"/>
        <v>8</v>
      </c>
      <c r="C18" s="333"/>
      <c r="D18" s="64">
        <f t="shared" si="3"/>
        <v>9.5</v>
      </c>
      <c r="E18" s="65">
        <f t="shared" si="6"/>
        <v>454609</v>
      </c>
      <c r="F18" s="65">
        <f t="shared" si="4"/>
        <v>4380</v>
      </c>
      <c r="G18" s="65">
        <f t="shared" si="5"/>
        <v>4380</v>
      </c>
      <c r="H18" s="34">
        <v>0</v>
      </c>
      <c r="I18" s="34">
        <v>0</v>
      </c>
      <c r="J18" s="34">
        <v>0</v>
      </c>
      <c r="K18" s="68">
        <f t="shared" si="0"/>
        <v>0</v>
      </c>
      <c r="L18" s="67">
        <f t="shared" si="1"/>
        <v>165932285</v>
      </c>
    </row>
    <row r="19" spans="1:12" x14ac:dyDescent="0.35">
      <c r="A19" s="330"/>
      <c r="B19" s="63">
        <f t="shared" si="2"/>
        <v>9</v>
      </c>
      <c r="C19" s="333"/>
      <c r="D19" s="64">
        <f t="shared" si="3"/>
        <v>10.5</v>
      </c>
      <c r="E19" s="65">
        <f t="shared" si="6"/>
        <v>454609</v>
      </c>
      <c r="F19" s="65">
        <f t="shared" si="4"/>
        <v>4380</v>
      </c>
      <c r="G19" s="65">
        <f t="shared" si="5"/>
        <v>4380</v>
      </c>
      <c r="H19" s="34">
        <v>0</v>
      </c>
      <c r="I19" s="34">
        <v>0</v>
      </c>
      <c r="J19" s="34">
        <v>0</v>
      </c>
      <c r="K19" s="68">
        <f t="shared" si="0"/>
        <v>0</v>
      </c>
      <c r="L19" s="67">
        <f t="shared" si="1"/>
        <v>165932285</v>
      </c>
    </row>
    <row r="20" spans="1:12" x14ac:dyDescent="0.35">
      <c r="A20" s="330"/>
      <c r="B20" s="63">
        <f t="shared" si="2"/>
        <v>10</v>
      </c>
      <c r="C20" s="333"/>
      <c r="D20" s="64">
        <f t="shared" si="3"/>
        <v>11.5</v>
      </c>
      <c r="E20" s="65">
        <f t="shared" si="6"/>
        <v>454609</v>
      </c>
      <c r="F20" s="65">
        <f t="shared" si="4"/>
        <v>4380</v>
      </c>
      <c r="G20" s="65">
        <f t="shared" si="5"/>
        <v>4380</v>
      </c>
      <c r="H20" s="34">
        <v>0</v>
      </c>
      <c r="I20" s="34">
        <v>0</v>
      </c>
      <c r="J20" s="34">
        <v>0</v>
      </c>
      <c r="K20" s="68">
        <f t="shared" si="0"/>
        <v>0</v>
      </c>
      <c r="L20" s="67">
        <f t="shared" si="1"/>
        <v>165932285</v>
      </c>
    </row>
    <row r="21" spans="1:12" x14ac:dyDescent="0.35">
      <c r="A21" s="330"/>
      <c r="B21" s="63">
        <f t="shared" si="2"/>
        <v>11</v>
      </c>
      <c r="C21" s="333"/>
      <c r="D21" s="64">
        <f t="shared" si="3"/>
        <v>12.5</v>
      </c>
      <c r="E21" s="65">
        <f t="shared" si="6"/>
        <v>454609</v>
      </c>
      <c r="F21" s="65">
        <f t="shared" si="4"/>
        <v>4380</v>
      </c>
      <c r="G21" s="65">
        <f t="shared" si="5"/>
        <v>4380</v>
      </c>
      <c r="H21" s="34">
        <v>0</v>
      </c>
      <c r="I21" s="34">
        <v>0</v>
      </c>
      <c r="J21" s="34">
        <v>0</v>
      </c>
      <c r="K21" s="68">
        <f t="shared" si="0"/>
        <v>0</v>
      </c>
      <c r="L21" s="67">
        <f t="shared" si="1"/>
        <v>165932285</v>
      </c>
    </row>
    <row r="22" spans="1:12" x14ac:dyDescent="0.35">
      <c r="A22" s="330"/>
      <c r="B22" s="63">
        <f t="shared" si="2"/>
        <v>12</v>
      </c>
      <c r="C22" s="333"/>
      <c r="D22" s="64">
        <f t="shared" si="3"/>
        <v>13.5</v>
      </c>
      <c r="E22" s="65">
        <f t="shared" si="6"/>
        <v>454609</v>
      </c>
      <c r="F22" s="65">
        <f t="shared" si="4"/>
        <v>4380</v>
      </c>
      <c r="G22" s="65">
        <f t="shared" si="5"/>
        <v>4380</v>
      </c>
      <c r="H22" s="34">
        <v>0</v>
      </c>
      <c r="I22" s="34">
        <v>0</v>
      </c>
      <c r="J22" s="34">
        <v>0</v>
      </c>
      <c r="K22" s="68">
        <f t="shared" si="0"/>
        <v>0</v>
      </c>
      <c r="L22" s="67">
        <f t="shared" si="1"/>
        <v>165932285</v>
      </c>
    </row>
    <row r="23" spans="1:12" x14ac:dyDescent="0.35">
      <c r="A23" s="330"/>
      <c r="B23" s="63">
        <f t="shared" si="2"/>
        <v>13</v>
      </c>
      <c r="C23" s="333"/>
      <c r="D23" s="64">
        <f t="shared" si="3"/>
        <v>14.5</v>
      </c>
      <c r="E23" s="65">
        <f t="shared" si="6"/>
        <v>454609</v>
      </c>
      <c r="F23" s="65">
        <f t="shared" si="4"/>
        <v>4380</v>
      </c>
      <c r="G23" s="65">
        <f t="shared" si="5"/>
        <v>4380</v>
      </c>
      <c r="H23" s="34">
        <v>0</v>
      </c>
      <c r="I23" s="34">
        <v>0</v>
      </c>
      <c r="J23" s="34">
        <v>0</v>
      </c>
      <c r="K23" s="68">
        <f t="shared" si="0"/>
        <v>0</v>
      </c>
      <c r="L23" s="67">
        <f t="shared" si="1"/>
        <v>165932285</v>
      </c>
    </row>
    <row r="24" spans="1:12" x14ac:dyDescent="0.35">
      <c r="A24" s="330"/>
      <c r="B24" s="63">
        <f t="shared" si="2"/>
        <v>14</v>
      </c>
      <c r="C24" s="333"/>
      <c r="D24" s="64">
        <f t="shared" si="3"/>
        <v>15.5</v>
      </c>
      <c r="E24" s="65">
        <f t="shared" si="6"/>
        <v>454609</v>
      </c>
      <c r="F24" s="65">
        <f t="shared" si="4"/>
        <v>4380</v>
      </c>
      <c r="G24" s="65">
        <f t="shared" si="5"/>
        <v>4380</v>
      </c>
      <c r="H24" s="34">
        <v>0</v>
      </c>
      <c r="I24" s="34">
        <v>0</v>
      </c>
      <c r="J24" s="34">
        <v>0</v>
      </c>
      <c r="K24" s="68">
        <f t="shared" si="0"/>
        <v>0</v>
      </c>
      <c r="L24" s="67">
        <f t="shared" si="1"/>
        <v>165932285</v>
      </c>
    </row>
    <row r="25" spans="1:12" ht="15" thickBot="1" x14ac:dyDescent="0.4">
      <c r="A25" s="331"/>
      <c r="B25" s="69">
        <f t="shared" si="2"/>
        <v>15</v>
      </c>
      <c r="C25" s="334"/>
      <c r="D25" s="70">
        <f t="shared" si="3"/>
        <v>16.5</v>
      </c>
      <c r="E25" s="71">
        <f t="shared" ref="E25" si="7">E24</f>
        <v>454609</v>
      </c>
      <c r="F25" s="71">
        <f t="shared" ref="F25" si="8">F24</f>
        <v>4380</v>
      </c>
      <c r="G25" s="71">
        <f t="shared" ref="G25" si="9">G24</f>
        <v>4380</v>
      </c>
      <c r="H25" s="35">
        <v>0</v>
      </c>
      <c r="I25" s="35">
        <v>0</v>
      </c>
      <c r="J25" s="35">
        <v>0</v>
      </c>
      <c r="K25" s="72">
        <f t="shared" si="0"/>
        <v>0</v>
      </c>
      <c r="L25" s="73">
        <f t="shared" si="1"/>
        <v>165932285</v>
      </c>
    </row>
    <row r="26" spans="1:12" x14ac:dyDescent="0.35">
      <c r="B26" s="36"/>
      <c r="C26" s="36"/>
      <c r="D26" s="36"/>
      <c r="E26" s="36"/>
      <c r="F26" s="36"/>
      <c r="G26" s="36"/>
      <c r="H26" s="36"/>
      <c r="I26" s="36"/>
      <c r="J26" s="36"/>
      <c r="K26" s="36"/>
    </row>
    <row r="27" spans="1:12" ht="30" customHeight="1" x14ac:dyDescent="0.35">
      <c r="B27" s="36"/>
      <c r="C27" s="322" t="s">
        <v>276</v>
      </c>
      <c r="D27" s="323"/>
      <c r="E27" s="323"/>
      <c r="F27" s="323"/>
      <c r="G27" s="323"/>
      <c r="H27" s="323"/>
      <c r="I27" s="323"/>
      <c r="J27" s="323"/>
      <c r="K27" s="323"/>
      <c r="L27" s="323"/>
    </row>
    <row r="28" spans="1:12" ht="15" thickBot="1" x14ac:dyDescent="0.4">
      <c r="B28" s="36"/>
      <c r="C28" s="36"/>
      <c r="D28" s="36"/>
      <c r="E28" s="36"/>
      <c r="F28" s="36"/>
      <c r="G28" s="36"/>
      <c r="H28" s="36"/>
      <c r="I28" s="36"/>
      <c r="J28" s="36"/>
      <c r="K28" s="36"/>
    </row>
    <row r="29" spans="1:12" ht="15" thickBot="1" x14ac:dyDescent="0.4">
      <c r="B29" s="36"/>
      <c r="C29" s="74"/>
      <c r="D29" s="40" t="s">
        <v>9</v>
      </c>
      <c r="E29" s="36"/>
      <c r="F29" s="36"/>
      <c r="G29" s="36"/>
      <c r="H29" s="40"/>
      <c r="I29" s="36"/>
      <c r="J29" s="36"/>
      <c r="K29" s="36"/>
    </row>
    <row r="30" spans="1:12" ht="15" thickBot="1" x14ac:dyDescent="0.4">
      <c r="B30" s="36"/>
      <c r="C30" s="75"/>
      <c r="D30" s="40" t="s">
        <v>121</v>
      </c>
      <c r="E30" s="36"/>
      <c r="F30" s="36"/>
      <c r="G30" s="36"/>
      <c r="H30" s="36"/>
      <c r="I30" s="36"/>
      <c r="J30" s="36"/>
      <c r="K30" s="36"/>
    </row>
    <row r="31" spans="1:12" ht="15" thickBot="1" x14ac:dyDescent="0.4">
      <c r="B31" s="36"/>
      <c r="C31" s="76"/>
      <c r="D31" s="40" t="s">
        <v>10</v>
      </c>
      <c r="E31" s="39"/>
      <c r="F31" s="39"/>
      <c r="G31" s="36"/>
      <c r="H31" s="40"/>
      <c r="I31" s="36"/>
      <c r="J31" s="36"/>
      <c r="K31" s="36"/>
    </row>
    <row r="32" spans="1:12" x14ac:dyDescent="0.35">
      <c r="B32" s="36"/>
      <c r="C32" s="36"/>
      <c r="D32" s="36"/>
      <c r="E32" s="39"/>
      <c r="F32" s="39"/>
      <c r="G32" s="36"/>
      <c r="H32" s="40"/>
      <c r="I32" s="36"/>
      <c r="J32" s="36"/>
      <c r="K32" s="36"/>
    </row>
    <row r="33" spans="5:8" s="36" customFormat="1" x14ac:dyDescent="0.35">
      <c r="E33" s="39"/>
      <c r="F33" s="39"/>
      <c r="H33" s="40"/>
    </row>
    <row r="34" spans="5:8" s="36" customFormat="1" x14ac:dyDescent="0.35"/>
    <row r="35" spans="5:8" s="36" customFormat="1" x14ac:dyDescent="0.35">
      <c r="E35" s="40"/>
      <c r="F35" s="40"/>
      <c r="G35" s="40"/>
    </row>
    <row r="36" spans="5:8" s="36" customFormat="1" x14ac:dyDescent="0.35">
      <c r="E36" s="40"/>
      <c r="F36" s="40"/>
      <c r="G36" s="40"/>
    </row>
    <row r="37" spans="5:8" s="36" customFormat="1" x14ac:dyDescent="0.35">
      <c r="E37" s="40"/>
      <c r="F37" s="40"/>
      <c r="G37" s="40"/>
    </row>
    <row r="38" spans="5:8" s="36" customFormat="1" x14ac:dyDescent="0.35">
      <c r="E38" s="40"/>
      <c r="F38" s="40"/>
      <c r="G38" s="40"/>
    </row>
    <row r="39" spans="5:8" s="36" customFormat="1" x14ac:dyDescent="0.35">
      <c r="E39" s="40"/>
      <c r="F39" s="40"/>
      <c r="G39" s="40"/>
    </row>
    <row r="40" spans="5:8" s="36" customFormat="1" x14ac:dyDescent="0.35">
      <c r="E40" s="40"/>
      <c r="F40" s="40"/>
      <c r="G40" s="40"/>
    </row>
    <row r="41" spans="5:8" s="36" customFormat="1" x14ac:dyDescent="0.35">
      <c r="E41" s="40"/>
      <c r="F41" s="40"/>
      <c r="G41" s="40"/>
    </row>
    <row r="42" spans="5:8" s="36" customFormat="1" x14ac:dyDescent="0.35">
      <c r="E42" s="40"/>
      <c r="F42" s="40"/>
      <c r="G42" s="40"/>
    </row>
    <row r="43" spans="5:8" s="36" customFormat="1" x14ac:dyDescent="0.35">
      <c r="E43" s="40"/>
      <c r="F43" s="40"/>
      <c r="G43" s="40"/>
    </row>
    <row r="44" spans="5:8" s="36" customFormat="1" x14ac:dyDescent="0.35">
      <c r="E44" s="40"/>
      <c r="F44" s="40"/>
      <c r="G44" s="40"/>
    </row>
    <row r="45" spans="5:8" s="36" customFormat="1" x14ac:dyDescent="0.35">
      <c r="E45" s="40"/>
      <c r="F45" s="40"/>
      <c r="G45" s="40"/>
    </row>
    <row r="46" spans="5:8" s="36" customFormat="1" x14ac:dyDescent="0.35">
      <c r="E46" s="40"/>
      <c r="F46" s="40"/>
      <c r="G46" s="40"/>
    </row>
    <row r="47" spans="5:8" s="36" customFormat="1" x14ac:dyDescent="0.35">
      <c r="E47" s="40"/>
      <c r="F47" s="40"/>
      <c r="G47" s="40"/>
    </row>
    <row r="48" spans="5:8" s="36" customFormat="1" x14ac:dyDescent="0.35">
      <c r="E48" s="40"/>
      <c r="F48" s="40"/>
      <c r="G48" s="40"/>
    </row>
    <row r="49" spans="5:7" s="36" customFormat="1" x14ac:dyDescent="0.35">
      <c r="E49" s="40"/>
      <c r="F49" s="40"/>
      <c r="G49" s="40"/>
    </row>
    <row r="50" spans="5:7" s="36" customFormat="1" x14ac:dyDescent="0.35">
      <c r="E50" s="40"/>
      <c r="F50" s="40"/>
      <c r="G50" s="40"/>
    </row>
    <row r="51" spans="5:7" s="36" customFormat="1" x14ac:dyDescent="0.35">
      <c r="E51" s="40"/>
      <c r="F51" s="40"/>
      <c r="G51" s="40"/>
    </row>
    <row r="52" spans="5:7" s="36" customFormat="1" x14ac:dyDescent="0.35">
      <c r="E52" s="40"/>
      <c r="F52" s="40"/>
      <c r="G52" s="40"/>
    </row>
    <row r="53" spans="5:7" s="36" customFormat="1" x14ac:dyDescent="0.35">
      <c r="E53" s="40"/>
      <c r="F53" s="40"/>
      <c r="G53" s="40"/>
    </row>
    <row r="54" spans="5:7" s="36" customFormat="1" x14ac:dyDescent="0.35">
      <c r="E54" s="40"/>
      <c r="F54" s="40"/>
      <c r="G54" s="40"/>
    </row>
    <row r="55" spans="5:7" s="36" customFormat="1" x14ac:dyDescent="0.35">
      <c r="E55" s="40"/>
      <c r="F55" s="40"/>
      <c r="G55" s="40"/>
    </row>
    <row r="56" spans="5:7" s="36" customFormat="1" x14ac:dyDescent="0.35">
      <c r="E56" s="40"/>
      <c r="F56" s="40"/>
      <c r="G56" s="40"/>
    </row>
    <row r="57" spans="5:7" s="36" customFormat="1" x14ac:dyDescent="0.35">
      <c r="E57" s="40"/>
      <c r="F57" s="40"/>
      <c r="G57" s="40"/>
    </row>
    <row r="58" spans="5:7" s="36" customFormat="1" x14ac:dyDescent="0.35">
      <c r="E58" s="40"/>
      <c r="F58" s="40"/>
      <c r="G58" s="40"/>
    </row>
    <row r="59" spans="5:7" s="41" customFormat="1" x14ac:dyDescent="0.35"/>
    <row r="60" spans="5:7" s="41" customFormat="1" x14ac:dyDescent="0.35"/>
    <row r="61" spans="5:7" s="41" customFormat="1" x14ac:dyDescent="0.35"/>
    <row r="62" spans="5:7" s="41" customFormat="1" x14ac:dyDescent="0.35"/>
    <row r="63" spans="5:7" s="41" customFormat="1" x14ac:dyDescent="0.35"/>
    <row r="64" spans="5:7"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row r="110" s="41" customFormat="1" x14ac:dyDescent="0.35"/>
    <row r="111" s="41" customFormat="1" x14ac:dyDescent="0.35"/>
    <row r="112" s="41" customFormat="1" x14ac:dyDescent="0.35"/>
    <row r="113" s="41" customFormat="1" x14ac:dyDescent="0.35"/>
    <row r="114" s="41" customFormat="1" x14ac:dyDescent="0.35"/>
    <row r="115" s="41" customFormat="1" x14ac:dyDescent="0.35"/>
    <row r="116" s="41" customFormat="1" x14ac:dyDescent="0.35"/>
    <row r="117" s="41" customFormat="1" x14ac:dyDescent="0.35"/>
    <row r="118" s="41" customFormat="1" x14ac:dyDescent="0.35"/>
    <row r="119" s="41" customFormat="1" x14ac:dyDescent="0.35"/>
    <row r="120" s="41" customFormat="1" x14ac:dyDescent="0.35"/>
    <row r="121" s="41" customFormat="1" x14ac:dyDescent="0.35"/>
    <row r="122" s="41" customFormat="1" x14ac:dyDescent="0.35"/>
    <row r="123" s="41" customFormat="1" x14ac:dyDescent="0.35"/>
    <row r="124" s="41" customFormat="1" x14ac:dyDescent="0.35"/>
    <row r="125" s="41" customFormat="1" x14ac:dyDescent="0.35"/>
    <row r="126" s="41" customFormat="1" x14ac:dyDescent="0.35"/>
    <row r="127" s="41" customFormat="1" x14ac:dyDescent="0.35"/>
    <row r="128" s="41" customFormat="1" x14ac:dyDescent="0.35"/>
    <row r="129" s="41" customFormat="1" x14ac:dyDescent="0.35"/>
    <row r="130" s="41" customFormat="1" x14ac:dyDescent="0.35"/>
    <row r="131" s="41" customFormat="1" x14ac:dyDescent="0.35"/>
    <row r="132" s="41" customFormat="1" x14ac:dyDescent="0.35"/>
    <row r="133" s="41" customFormat="1" x14ac:dyDescent="0.35"/>
    <row r="134" s="41" customFormat="1" x14ac:dyDescent="0.35"/>
    <row r="135" s="41" customFormat="1" x14ac:dyDescent="0.35"/>
    <row r="136" s="41" customFormat="1" x14ac:dyDescent="0.35"/>
    <row r="137" s="41" customFormat="1" x14ac:dyDescent="0.35"/>
    <row r="138" s="41" customFormat="1" x14ac:dyDescent="0.35"/>
    <row r="139" s="41" customFormat="1" x14ac:dyDescent="0.35"/>
    <row r="140" s="41" customFormat="1" x14ac:dyDescent="0.35"/>
    <row r="141" s="41" customFormat="1" x14ac:dyDescent="0.35"/>
    <row r="142" s="41" customFormat="1" x14ac:dyDescent="0.35"/>
    <row r="143" s="41" customFormat="1" x14ac:dyDescent="0.35"/>
    <row r="144" s="41" customFormat="1" x14ac:dyDescent="0.35"/>
    <row r="145" s="41" customFormat="1" x14ac:dyDescent="0.35"/>
    <row r="146" s="41" customFormat="1" x14ac:dyDescent="0.35"/>
    <row r="147" s="41" customFormat="1" x14ac:dyDescent="0.35"/>
    <row r="148" s="41" customFormat="1" x14ac:dyDescent="0.35"/>
    <row r="149" s="41" customFormat="1" x14ac:dyDescent="0.35"/>
    <row r="150" s="41" customFormat="1" x14ac:dyDescent="0.35"/>
    <row r="151" s="41" customFormat="1" x14ac:dyDescent="0.35"/>
    <row r="152" s="41" customFormat="1" x14ac:dyDescent="0.35"/>
    <row r="153" s="41" customFormat="1" x14ac:dyDescent="0.35"/>
    <row r="154" s="41" customFormat="1" x14ac:dyDescent="0.35"/>
    <row r="155" s="41" customFormat="1" x14ac:dyDescent="0.35"/>
    <row r="156" s="41" customFormat="1" x14ac:dyDescent="0.35"/>
    <row r="157" s="41" customFormat="1" x14ac:dyDescent="0.35"/>
    <row r="158" s="41" customFormat="1" x14ac:dyDescent="0.35"/>
    <row r="159" s="41" customFormat="1" x14ac:dyDescent="0.35"/>
    <row r="160" s="41" customFormat="1" x14ac:dyDescent="0.35"/>
    <row r="161" s="41" customFormat="1" x14ac:dyDescent="0.35"/>
    <row r="162" s="41" customFormat="1" x14ac:dyDescent="0.35"/>
    <row r="163" s="41" customFormat="1" x14ac:dyDescent="0.35"/>
    <row r="164" s="41" customFormat="1" x14ac:dyDescent="0.35"/>
    <row r="165" s="41" customFormat="1" x14ac:dyDescent="0.35"/>
    <row r="166" s="41" customFormat="1" x14ac:dyDescent="0.35"/>
    <row r="167" s="41" customFormat="1" x14ac:dyDescent="0.35"/>
    <row r="168" s="41" customFormat="1" x14ac:dyDescent="0.35"/>
    <row r="169" s="41" customFormat="1" x14ac:dyDescent="0.35"/>
    <row r="170" s="41" customFormat="1" x14ac:dyDescent="0.35"/>
    <row r="171" s="41" customFormat="1" x14ac:dyDescent="0.35"/>
    <row r="172" s="41" customFormat="1" x14ac:dyDescent="0.35"/>
    <row r="173" s="41" customFormat="1" x14ac:dyDescent="0.35"/>
    <row r="174" s="41" customFormat="1" x14ac:dyDescent="0.35"/>
    <row r="175" s="41" customFormat="1" x14ac:dyDescent="0.35"/>
    <row r="176" s="41" customFormat="1" x14ac:dyDescent="0.35"/>
    <row r="177" s="41" customFormat="1" x14ac:dyDescent="0.35"/>
    <row r="178" s="41" customFormat="1" x14ac:dyDescent="0.35"/>
    <row r="179" s="41" customFormat="1" x14ac:dyDescent="0.35"/>
    <row r="180" s="41" customFormat="1" x14ac:dyDescent="0.35"/>
    <row r="181" s="41" customFormat="1" x14ac:dyDescent="0.35"/>
    <row r="182" s="41" customFormat="1" x14ac:dyDescent="0.35"/>
    <row r="183" s="41" customFormat="1" x14ac:dyDescent="0.35"/>
    <row r="184" s="41" customFormat="1" x14ac:dyDescent="0.35"/>
    <row r="185" s="41" customFormat="1" x14ac:dyDescent="0.35"/>
    <row r="186" s="41" customFormat="1" x14ac:dyDescent="0.35"/>
    <row r="187" s="41" customFormat="1" x14ac:dyDescent="0.35"/>
    <row r="188" s="41" customFormat="1" x14ac:dyDescent="0.35"/>
    <row r="189" s="41" customFormat="1" x14ac:dyDescent="0.35"/>
    <row r="190" s="41" customFormat="1" x14ac:dyDescent="0.35"/>
    <row r="191" s="41" customFormat="1" x14ac:dyDescent="0.35"/>
    <row r="192" s="41" customFormat="1" x14ac:dyDescent="0.35"/>
    <row r="193" s="41" customFormat="1" x14ac:dyDescent="0.35"/>
    <row r="194" s="41" customFormat="1" x14ac:dyDescent="0.35"/>
    <row r="195" s="41" customFormat="1" x14ac:dyDescent="0.35"/>
    <row r="196" s="41" customFormat="1" x14ac:dyDescent="0.35"/>
    <row r="197" s="41" customFormat="1" x14ac:dyDescent="0.35"/>
    <row r="198" s="41" customFormat="1" x14ac:dyDescent="0.35"/>
    <row r="199" s="41" customFormat="1" x14ac:dyDescent="0.35"/>
    <row r="200" s="41" customFormat="1" x14ac:dyDescent="0.35"/>
    <row r="201" s="41" customFormat="1" x14ac:dyDescent="0.35"/>
    <row r="202" s="41" customFormat="1" x14ac:dyDescent="0.35"/>
    <row r="203" s="41" customFormat="1" x14ac:dyDescent="0.35"/>
    <row r="204" s="41" customFormat="1" x14ac:dyDescent="0.35"/>
    <row r="205" s="41" customFormat="1" x14ac:dyDescent="0.35"/>
    <row r="206" s="41" customFormat="1" x14ac:dyDescent="0.35"/>
    <row r="207" s="41" customFormat="1" x14ac:dyDescent="0.35"/>
    <row r="208" s="41" customFormat="1" x14ac:dyDescent="0.35"/>
    <row r="209" s="41" customFormat="1" x14ac:dyDescent="0.35"/>
    <row r="210" s="41" customFormat="1" x14ac:dyDescent="0.35"/>
    <row r="211" s="41" customFormat="1" x14ac:dyDescent="0.35"/>
    <row r="212" s="41" customFormat="1" x14ac:dyDescent="0.35"/>
    <row r="213" s="41" customFormat="1" x14ac:dyDescent="0.35"/>
    <row r="214" s="41" customFormat="1" x14ac:dyDescent="0.35"/>
    <row r="215" s="41" customFormat="1" x14ac:dyDescent="0.35"/>
    <row r="216" s="41" customFormat="1" x14ac:dyDescent="0.35"/>
    <row r="217" s="41" customFormat="1" x14ac:dyDescent="0.35"/>
    <row r="218" s="41" customFormat="1" x14ac:dyDescent="0.35"/>
    <row r="219" s="41" customFormat="1" x14ac:dyDescent="0.35"/>
    <row r="220" s="41" customFormat="1" x14ac:dyDescent="0.35"/>
    <row r="221" s="41" customFormat="1" x14ac:dyDescent="0.35"/>
    <row r="222" s="41" customFormat="1" x14ac:dyDescent="0.35"/>
    <row r="223" s="41" customFormat="1" x14ac:dyDescent="0.35"/>
    <row r="224" s="41" customFormat="1" x14ac:dyDescent="0.35"/>
    <row r="225" s="41" customFormat="1" x14ac:dyDescent="0.35"/>
    <row r="226" s="41" customFormat="1" x14ac:dyDescent="0.35"/>
    <row r="227" s="41" customFormat="1" x14ac:dyDescent="0.35"/>
    <row r="228" s="41" customFormat="1" x14ac:dyDescent="0.35"/>
    <row r="229" s="41" customFormat="1" x14ac:dyDescent="0.35"/>
    <row r="230" s="41" customFormat="1" x14ac:dyDescent="0.35"/>
    <row r="231" s="41" customFormat="1" x14ac:dyDescent="0.35"/>
    <row r="232" s="41" customFormat="1" x14ac:dyDescent="0.35"/>
    <row r="233" s="41" customFormat="1" x14ac:dyDescent="0.35"/>
    <row r="234" s="41" customFormat="1" x14ac:dyDescent="0.35"/>
    <row r="235" s="41" customFormat="1" x14ac:dyDescent="0.35"/>
    <row r="236" s="41" customFormat="1" x14ac:dyDescent="0.35"/>
    <row r="237" s="41" customFormat="1" x14ac:dyDescent="0.35"/>
    <row r="238" s="41" customFormat="1" x14ac:dyDescent="0.35"/>
    <row r="239" s="41" customFormat="1" x14ac:dyDescent="0.35"/>
    <row r="240" s="41" customFormat="1" x14ac:dyDescent="0.35"/>
    <row r="241" s="41" customFormat="1" x14ac:dyDescent="0.35"/>
    <row r="242" s="41" customFormat="1" x14ac:dyDescent="0.35"/>
    <row r="243" s="41" customFormat="1" x14ac:dyDescent="0.35"/>
    <row r="244" s="41" customFormat="1" x14ac:dyDescent="0.35"/>
    <row r="245" s="41" customFormat="1" x14ac:dyDescent="0.35"/>
    <row r="246" s="41" customFormat="1" x14ac:dyDescent="0.35"/>
    <row r="247" s="41" customFormat="1" x14ac:dyDescent="0.35"/>
    <row r="248" s="41" customFormat="1" x14ac:dyDescent="0.35"/>
    <row r="249" s="41" customFormat="1" x14ac:dyDescent="0.35"/>
    <row r="250" s="41" customFormat="1" x14ac:dyDescent="0.35"/>
    <row r="251" s="41" customFormat="1" x14ac:dyDescent="0.35"/>
    <row r="252" s="41" customFormat="1" x14ac:dyDescent="0.35"/>
    <row r="253" s="41" customFormat="1" x14ac:dyDescent="0.35"/>
    <row r="254" s="41" customFormat="1" x14ac:dyDescent="0.35"/>
    <row r="255" s="41" customFormat="1" x14ac:dyDescent="0.35"/>
    <row r="256" s="41" customFormat="1" x14ac:dyDescent="0.35"/>
    <row r="257" s="41" customFormat="1" x14ac:dyDescent="0.35"/>
    <row r="258" s="41" customFormat="1" x14ac:dyDescent="0.35"/>
    <row r="259" s="41" customFormat="1" x14ac:dyDescent="0.35"/>
    <row r="260" s="41" customFormat="1" x14ac:dyDescent="0.35"/>
    <row r="261" s="41" customFormat="1" x14ac:dyDescent="0.35"/>
    <row r="262" s="41" customFormat="1" x14ac:dyDescent="0.35"/>
    <row r="263" s="41" customFormat="1" x14ac:dyDescent="0.35"/>
    <row r="264" s="41" customFormat="1" x14ac:dyDescent="0.35"/>
    <row r="265" s="41" customFormat="1" x14ac:dyDescent="0.35"/>
    <row r="266" s="41" customFormat="1" x14ac:dyDescent="0.35"/>
    <row r="267" s="41" customFormat="1" x14ac:dyDescent="0.35"/>
    <row r="268" s="41" customFormat="1" x14ac:dyDescent="0.35"/>
    <row r="269" s="41" customFormat="1" x14ac:dyDescent="0.35"/>
    <row r="270" s="41" customFormat="1" x14ac:dyDescent="0.35"/>
    <row r="271" s="41" customFormat="1" x14ac:dyDescent="0.35"/>
    <row r="272" s="41" customFormat="1" x14ac:dyDescent="0.35"/>
    <row r="273" s="41" customFormat="1" x14ac:dyDescent="0.35"/>
    <row r="274" s="41" customFormat="1" x14ac:dyDescent="0.35"/>
    <row r="275" s="41" customFormat="1" x14ac:dyDescent="0.35"/>
    <row r="276" s="41" customFormat="1" x14ac:dyDescent="0.35"/>
    <row r="277" s="41" customFormat="1" x14ac:dyDescent="0.35"/>
    <row r="278" s="41" customFormat="1" x14ac:dyDescent="0.35"/>
    <row r="279" s="41" customFormat="1" x14ac:dyDescent="0.35"/>
    <row r="280" s="41" customFormat="1" x14ac:dyDescent="0.35"/>
    <row r="281" s="41" customFormat="1" x14ac:dyDescent="0.35"/>
    <row r="282" s="41" customFormat="1" x14ac:dyDescent="0.35"/>
    <row r="283" s="41" customFormat="1" x14ac:dyDescent="0.35"/>
    <row r="284" s="41" customFormat="1" x14ac:dyDescent="0.35"/>
    <row r="285" s="41" customFormat="1" x14ac:dyDescent="0.35"/>
    <row r="286" s="41" customFormat="1" x14ac:dyDescent="0.35"/>
    <row r="287" s="41" customFormat="1" x14ac:dyDescent="0.35"/>
    <row r="288" s="41" customFormat="1" x14ac:dyDescent="0.35"/>
    <row r="289" s="41" customFormat="1" x14ac:dyDescent="0.35"/>
    <row r="290" s="41" customFormat="1" x14ac:dyDescent="0.35"/>
    <row r="291" s="41" customFormat="1" x14ac:dyDescent="0.35"/>
    <row r="292" s="41" customFormat="1" x14ac:dyDescent="0.35"/>
    <row r="293" s="41" customFormat="1" x14ac:dyDescent="0.35"/>
    <row r="294" s="41" customFormat="1" x14ac:dyDescent="0.35"/>
    <row r="295" s="41" customFormat="1" x14ac:dyDescent="0.35"/>
    <row r="296" s="41" customFormat="1" x14ac:dyDescent="0.35"/>
    <row r="297" s="41" customFormat="1" x14ac:dyDescent="0.35"/>
    <row r="298" s="41" customFormat="1" x14ac:dyDescent="0.35"/>
    <row r="299" s="41" customFormat="1" x14ac:dyDescent="0.35"/>
    <row r="300" s="41" customFormat="1" x14ac:dyDescent="0.35"/>
    <row r="301" s="41" customFormat="1" x14ac:dyDescent="0.35"/>
    <row r="302" s="41" customFormat="1" x14ac:dyDescent="0.35"/>
    <row r="303" s="41" customFormat="1" x14ac:dyDescent="0.35"/>
    <row r="304" s="41" customFormat="1" x14ac:dyDescent="0.35"/>
    <row r="305" s="41" customFormat="1" x14ac:dyDescent="0.35"/>
    <row r="306" s="41" customFormat="1" x14ac:dyDescent="0.35"/>
    <row r="307" s="41" customFormat="1" x14ac:dyDescent="0.35"/>
    <row r="308" s="41" customFormat="1" x14ac:dyDescent="0.35"/>
    <row r="309" s="41" customFormat="1" x14ac:dyDescent="0.35"/>
    <row r="310" s="41" customFormat="1" x14ac:dyDescent="0.35"/>
    <row r="311" s="41" customFormat="1" x14ac:dyDescent="0.35"/>
    <row r="312" s="41" customFormat="1" x14ac:dyDescent="0.35"/>
    <row r="313" s="41" customFormat="1" x14ac:dyDescent="0.35"/>
    <row r="314" s="41" customFormat="1" x14ac:dyDescent="0.35"/>
    <row r="315" s="41" customFormat="1" x14ac:dyDescent="0.35"/>
    <row r="316" s="41" customFormat="1" x14ac:dyDescent="0.35"/>
    <row r="317" s="41" customFormat="1" x14ac:dyDescent="0.35"/>
    <row r="318" s="41" customFormat="1" x14ac:dyDescent="0.35"/>
    <row r="319" s="41" customFormat="1" x14ac:dyDescent="0.35"/>
    <row r="320" s="41" customFormat="1" x14ac:dyDescent="0.35"/>
    <row r="321" s="41" customFormat="1" x14ac:dyDescent="0.35"/>
    <row r="322" s="41" customFormat="1" x14ac:dyDescent="0.35"/>
    <row r="323" s="41" customFormat="1" x14ac:dyDescent="0.35"/>
    <row r="324" s="41" customFormat="1" x14ac:dyDescent="0.35"/>
    <row r="325" s="41" customFormat="1" x14ac:dyDescent="0.35"/>
    <row r="326" s="41" customFormat="1" x14ac:dyDescent="0.35"/>
    <row r="327" s="41" customFormat="1" x14ac:dyDescent="0.35"/>
    <row r="328" s="41" customFormat="1" x14ac:dyDescent="0.35"/>
    <row r="329" s="41" customFormat="1" x14ac:dyDescent="0.35"/>
    <row r="330" s="41" customFormat="1" x14ac:dyDescent="0.35"/>
    <row r="331" s="41" customFormat="1" x14ac:dyDescent="0.35"/>
    <row r="332" s="41" customFormat="1" x14ac:dyDescent="0.35"/>
    <row r="333" s="41" customFormat="1" x14ac:dyDescent="0.35"/>
    <row r="334" s="41" customFormat="1" x14ac:dyDescent="0.35"/>
    <row r="335" s="41" customFormat="1" x14ac:dyDescent="0.35"/>
    <row r="336" s="41" customFormat="1" x14ac:dyDescent="0.35"/>
    <row r="337" s="41" customFormat="1" x14ac:dyDescent="0.35"/>
    <row r="338" s="41" customFormat="1" x14ac:dyDescent="0.35"/>
    <row r="339" s="41" customFormat="1" x14ac:dyDescent="0.35"/>
    <row r="340" s="41" customFormat="1" x14ac:dyDescent="0.35"/>
    <row r="341" s="41" customFormat="1" x14ac:dyDescent="0.35"/>
    <row r="342" s="41" customFormat="1" x14ac:dyDescent="0.35"/>
    <row r="343" s="41" customFormat="1" x14ac:dyDescent="0.35"/>
    <row r="344" s="41" customFormat="1" x14ac:dyDescent="0.35"/>
    <row r="345" s="41" customFormat="1" x14ac:dyDescent="0.35"/>
    <row r="346" s="41" customFormat="1" x14ac:dyDescent="0.35"/>
    <row r="347" s="41" customFormat="1" x14ac:dyDescent="0.35"/>
    <row r="348" s="41" customFormat="1" x14ac:dyDescent="0.35"/>
    <row r="349" s="41" customFormat="1" x14ac:dyDescent="0.35"/>
    <row r="350" s="41" customFormat="1" x14ac:dyDescent="0.35"/>
    <row r="351" s="41" customFormat="1" x14ac:dyDescent="0.35"/>
    <row r="352" s="41" customFormat="1" x14ac:dyDescent="0.35"/>
    <row r="353" s="41" customFormat="1" x14ac:dyDescent="0.35"/>
    <row r="354" s="41" customFormat="1" x14ac:dyDescent="0.35"/>
    <row r="355" s="41" customFormat="1" x14ac:dyDescent="0.35"/>
    <row r="356" s="41" customFormat="1" x14ac:dyDescent="0.35"/>
    <row r="357" s="41" customFormat="1" x14ac:dyDescent="0.35"/>
    <row r="358" s="41" customFormat="1" x14ac:dyDescent="0.35"/>
    <row r="359" s="41" customFormat="1" x14ac:dyDescent="0.35"/>
    <row r="360" s="41" customFormat="1" x14ac:dyDescent="0.35"/>
    <row r="361" s="41" customFormat="1" x14ac:dyDescent="0.35"/>
    <row r="362" s="41" customFormat="1" x14ac:dyDescent="0.35"/>
    <row r="363" s="41" customFormat="1" x14ac:dyDescent="0.35"/>
    <row r="364" s="41" customFormat="1" x14ac:dyDescent="0.35"/>
    <row r="365" s="41" customFormat="1" x14ac:dyDescent="0.35"/>
    <row r="366" s="41" customFormat="1" x14ac:dyDescent="0.35"/>
    <row r="367" s="41" customFormat="1" x14ac:dyDescent="0.35"/>
    <row r="368" s="41" customFormat="1" x14ac:dyDescent="0.35"/>
    <row r="369" s="41" customFormat="1" x14ac:dyDescent="0.35"/>
    <row r="370" s="41" customFormat="1" x14ac:dyDescent="0.35"/>
    <row r="371" s="41" customFormat="1" x14ac:dyDescent="0.35"/>
    <row r="372" s="41" customFormat="1" x14ac:dyDescent="0.35"/>
    <row r="373" s="41" customFormat="1" x14ac:dyDescent="0.35"/>
    <row r="374" s="41" customFormat="1" x14ac:dyDescent="0.35"/>
    <row r="375" s="41" customFormat="1" x14ac:dyDescent="0.35"/>
    <row r="376" s="41" customFormat="1" x14ac:dyDescent="0.35"/>
    <row r="377" s="41" customFormat="1" x14ac:dyDescent="0.35"/>
    <row r="378" s="41" customFormat="1" x14ac:dyDescent="0.35"/>
    <row r="379" s="41" customFormat="1" x14ac:dyDescent="0.35"/>
    <row r="380" s="41" customFormat="1" x14ac:dyDescent="0.35"/>
    <row r="381" s="41" customFormat="1" x14ac:dyDescent="0.35"/>
    <row r="382" s="41" customFormat="1" x14ac:dyDescent="0.35"/>
    <row r="383" s="41" customFormat="1" x14ac:dyDescent="0.35"/>
    <row r="384" s="41" customFormat="1" x14ac:dyDescent="0.35"/>
    <row r="385" s="41" customFormat="1" x14ac:dyDescent="0.35"/>
    <row r="386" s="41" customFormat="1" x14ac:dyDescent="0.35"/>
    <row r="387" s="41" customFormat="1" x14ac:dyDescent="0.35"/>
    <row r="388" s="41" customFormat="1" x14ac:dyDescent="0.35"/>
    <row r="389" s="41" customFormat="1" x14ac:dyDescent="0.35"/>
    <row r="390" s="41" customFormat="1" x14ac:dyDescent="0.35"/>
    <row r="391" s="41" customFormat="1" x14ac:dyDescent="0.35"/>
    <row r="392" s="41" customFormat="1" x14ac:dyDescent="0.35"/>
    <row r="393" s="41" customFormat="1" x14ac:dyDescent="0.35"/>
    <row r="394" s="41" customFormat="1" x14ac:dyDescent="0.35"/>
    <row r="395" s="41" customFormat="1" x14ac:dyDescent="0.35"/>
    <row r="396" s="41" customFormat="1" x14ac:dyDescent="0.35"/>
    <row r="397" s="41" customFormat="1" x14ac:dyDescent="0.35"/>
    <row r="398" s="41" customFormat="1" x14ac:dyDescent="0.35"/>
    <row r="399" s="41" customFormat="1" x14ac:dyDescent="0.35"/>
    <row r="400" s="41" customFormat="1" x14ac:dyDescent="0.35"/>
    <row r="401" s="41" customFormat="1" x14ac:dyDescent="0.35"/>
    <row r="402" s="41" customFormat="1" x14ac:dyDescent="0.35"/>
    <row r="403" s="41" customFormat="1" x14ac:dyDescent="0.35"/>
    <row r="404" s="41" customFormat="1" x14ac:dyDescent="0.35"/>
    <row r="405" s="41" customFormat="1" x14ac:dyDescent="0.35"/>
    <row r="406" s="41" customFormat="1" x14ac:dyDescent="0.35"/>
    <row r="407" s="41" customFormat="1" x14ac:dyDescent="0.35"/>
    <row r="408" s="41" customFormat="1" x14ac:dyDescent="0.35"/>
    <row r="409" s="41" customFormat="1" x14ac:dyDescent="0.35"/>
    <row r="410" s="41" customFormat="1" x14ac:dyDescent="0.35"/>
    <row r="411" s="41" customFormat="1" x14ac:dyDescent="0.35"/>
    <row r="412" s="41" customFormat="1" x14ac:dyDescent="0.35"/>
    <row r="413" s="41" customFormat="1" x14ac:dyDescent="0.35"/>
    <row r="414" s="41" customFormat="1" x14ac:dyDescent="0.35"/>
    <row r="415" s="41" customFormat="1" x14ac:dyDescent="0.35"/>
    <row r="416" s="41" customFormat="1" x14ac:dyDescent="0.35"/>
    <row r="417" s="41" customFormat="1" x14ac:dyDescent="0.35"/>
    <row r="418" s="41" customFormat="1" x14ac:dyDescent="0.35"/>
    <row r="419" s="41" customFormat="1" x14ac:dyDescent="0.35"/>
    <row r="420" s="41" customFormat="1" x14ac:dyDescent="0.35"/>
    <row r="421" s="41" customFormat="1" x14ac:dyDescent="0.35"/>
    <row r="422" s="41" customFormat="1" x14ac:dyDescent="0.35"/>
    <row r="423" s="41" customFormat="1" x14ac:dyDescent="0.35"/>
    <row r="424" s="41" customFormat="1" x14ac:dyDescent="0.35"/>
    <row r="425" s="41" customFormat="1" x14ac:dyDescent="0.35"/>
    <row r="426" s="41" customFormat="1" x14ac:dyDescent="0.35"/>
    <row r="427" s="41" customFormat="1" x14ac:dyDescent="0.35"/>
    <row r="428" s="41" customFormat="1" x14ac:dyDescent="0.35"/>
    <row r="429" s="41" customFormat="1" x14ac:dyDescent="0.35"/>
    <row r="430" s="41" customFormat="1" x14ac:dyDescent="0.35"/>
    <row r="431" s="41" customFormat="1" x14ac:dyDescent="0.35"/>
    <row r="432" s="41" customFormat="1" x14ac:dyDescent="0.35"/>
    <row r="433" s="41" customFormat="1" x14ac:dyDescent="0.35"/>
    <row r="434" s="41" customFormat="1" x14ac:dyDescent="0.35"/>
    <row r="435" s="41" customFormat="1" x14ac:dyDescent="0.35"/>
    <row r="436" s="41" customFormat="1" x14ac:dyDescent="0.35"/>
    <row r="437" s="41" customFormat="1" x14ac:dyDescent="0.35"/>
    <row r="438" s="41" customFormat="1" x14ac:dyDescent="0.35"/>
    <row r="439" s="41" customFormat="1" x14ac:dyDescent="0.35"/>
    <row r="440" s="41" customFormat="1" x14ac:dyDescent="0.35"/>
    <row r="441" s="41" customFormat="1" x14ac:dyDescent="0.35"/>
    <row r="442" s="41" customFormat="1" x14ac:dyDescent="0.35"/>
    <row r="443" s="41" customFormat="1" x14ac:dyDescent="0.35"/>
    <row r="444" s="41" customFormat="1" x14ac:dyDescent="0.35"/>
    <row r="445" s="41" customFormat="1" x14ac:dyDescent="0.35"/>
    <row r="446" s="41" customFormat="1" x14ac:dyDescent="0.35"/>
    <row r="447" s="41" customFormat="1" x14ac:dyDescent="0.35"/>
    <row r="448" s="41" customFormat="1" x14ac:dyDescent="0.35"/>
    <row r="449" s="41" customFormat="1" x14ac:dyDescent="0.35"/>
    <row r="450" s="41" customFormat="1" x14ac:dyDescent="0.35"/>
    <row r="451" s="41" customFormat="1" x14ac:dyDescent="0.35"/>
    <row r="452" s="41" customFormat="1" x14ac:dyDescent="0.35"/>
    <row r="453" s="41" customFormat="1" x14ac:dyDescent="0.35"/>
    <row r="454" s="41" customFormat="1" x14ac:dyDescent="0.35"/>
    <row r="455" s="41" customFormat="1" x14ac:dyDescent="0.35"/>
    <row r="456" s="41" customFormat="1" x14ac:dyDescent="0.35"/>
    <row r="457" s="41" customFormat="1" x14ac:dyDescent="0.35"/>
    <row r="458" s="41" customFormat="1" x14ac:dyDescent="0.35"/>
    <row r="459" s="41" customFormat="1" x14ac:dyDescent="0.35"/>
    <row r="460" s="41" customFormat="1" x14ac:dyDescent="0.35"/>
    <row r="461" s="41" customFormat="1" x14ac:dyDescent="0.35"/>
    <row r="462" s="41" customFormat="1" x14ac:dyDescent="0.35"/>
    <row r="463" s="41" customFormat="1" x14ac:dyDescent="0.35"/>
    <row r="464" s="41" customFormat="1" x14ac:dyDescent="0.35"/>
    <row r="465" s="41" customFormat="1" x14ac:dyDescent="0.35"/>
    <row r="466" s="41" customFormat="1" x14ac:dyDescent="0.35"/>
    <row r="467" s="41" customFormat="1" x14ac:dyDescent="0.35"/>
    <row r="468" s="41" customFormat="1" x14ac:dyDescent="0.35"/>
    <row r="469" s="41" customFormat="1" x14ac:dyDescent="0.35"/>
    <row r="470" s="41" customFormat="1" x14ac:dyDescent="0.35"/>
    <row r="471" s="41" customFormat="1" x14ac:dyDescent="0.35"/>
    <row r="472" s="41" customFormat="1" x14ac:dyDescent="0.35"/>
    <row r="473" s="41" customFormat="1" x14ac:dyDescent="0.35"/>
    <row r="474" s="41" customFormat="1" x14ac:dyDescent="0.35"/>
    <row r="475" s="41" customFormat="1" x14ac:dyDescent="0.35"/>
    <row r="476" s="41" customFormat="1" x14ac:dyDescent="0.35"/>
    <row r="477" s="41" customFormat="1" x14ac:dyDescent="0.35"/>
    <row r="478" s="41" customFormat="1" x14ac:dyDescent="0.35"/>
    <row r="479" s="41" customFormat="1" x14ac:dyDescent="0.35"/>
    <row r="480" s="41" customFormat="1" x14ac:dyDescent="0.35"/>
    <row r="481" s="41" customFormat="1" x14ac:dyDescent="0.35"/>
    <row r="482" s="41" customFormat="1" x14ac:dyDescent="0.35"/>
    <row r="483" s="41" customFormat="1" x14ac:dyDescent="0.35"/>
    <row r="484" s="41" customFormat="1" x14ac:dyDescent="0.35"/>
    <row r="485" s="41" customFormat="1" x14ac:dyDescent="0.35"/>
    <row r="486" s="41" customFormat="1" x14ac:dyDescent="0.35"/>
    <row r="487" s="41" customFormat="1" x14ac:dyDescent="0.35"/>
    <row r="488" s="41" customFormat="1" x14ac:dyDescent="0.35"/>
    <row r="489" s="41" customFormat="1" x14ac:dyDescent="0.35"/>
    <row r="490" s="41" customFormat="1" x14ac:dyDescent="0.35"/>
    <row r="491" s="41" customFormat="1" x14ac:dyDescent="0.35"/>
    <row r="492" s="41" customFormat="1" x14ac:dyDescent="0.35"/>
    <row r="493" s="41" customFormat="1" x14ac:dyDescent="0.35"/>
    <row r="494" s="41" customFormat="1" x14ac:dyDescent="0.35"/>
    <row r="495" s="41" customFormat="1" x14ac:dyDescent="0.35"/>
    <row r="496" s="41" customFormat="1" x14ac:dyDescent="0.35"/>
    <row r="497" s="41" customFormat="1" x14ac:dyDescent="0.35"/>
    <row r="498" s="41" customFormat="1" x14ac:dyDescent="0.35"/>
    <row r="499" s="41" customFormat="1" x14ac:dyDescent="0.35"/>
    <row r="500" s="41" customFormat="1" x14ac:dyDescent="0.35"/>
    <row r="501" s="41" customFormat="1" x14ac:dyDescent="0.35"/>
    <row r="502" s="41" customFormat="1" x14ac:dyDescent="0.35"/>
    <row r="503" s="41" customFormat="1" x14ac:dyDescent="0.35"/>
    <row r="504" s="41" customFormat="1" x14ac:dyDescent="0.35"/>
    <row r="505" s="41" customFormat="1" x14ac:dyDescent="0.35"/>
    <row r="506" s="41" customFormat="1" x14ac:dyDescent="0.35"/>
    <row r="507" s="41" customFormat="1" x14ac:dyDescent="0.35"/>
    <row r="508" s="41" customFormat="1" x14ac:dyDescent="0.35"/>
    <row r="509" s="41" customFormat="1" x14ac:dyDescent="0.35"/>
    <row r="510" s="41" customFormat="1" x14ac:dyDescent="0.35"/>
    <row r="511" s="41" customFormat="1" x14ac:dyDescent="0.35"/>
    <row r="512" s="41" customFormat="1" x14ac:dyDescent="0.35"/>
    <row r="513" s="41" customFormat="1" x14ac:dyDescent="0.35"/>
    <row r="514" s="41" customFormat="1" x14ac:dyDescent="0.35"/>
    <row r="515" s="41" customFormat="1" x14ac:dyDescent="0.35"/>
    <row r="516" s="41" customFormat="1" x14ac:dyDescent="0.35"/>
    <row r="517" s="41" customFormat="1" x14ac:dyDescent="0.35"/>
    <row r="518" s="41" customFormat="1" x14ac:dyDescent="0.35"/>
    <row r="519" s="41" customFormat="1" x14ac:dyDescent="0.35"/>
    <row r="520" s="41" customFormat="1" x14ac:dyDescent="0.35"/>
    <row r="521" s="41" customFormat="1" x14ac:dyDescent="0.35"/>
    <row r="522" s="41" customFormat="1" x14ac:dyDescent="0.35"/>
    <row r="523" s="41" customFormat="1" x14ac:dyDescent="0.35"/>
    <row r="524" s="41" customFormat="1" x14ac:dyDescent="0.35"/>
    <row r="525" s="41" customFormat="1" x14ac:dyDescent="0.35"/>
    <row r="526" s="41" customFormat="1" x14ac:dyDescent="0.35"/>
    <row r="527" s="41" customFormat="1" x14ac:dyDescent="0.35"/>
    <row r="528" s="41" customFormat="1" x14ac:dyDescent="0.35"/>
    <row r="529" s="41" customFormat="1" x14ac:dyDescent="0.35"/>
    <row r="530" s="41" customFormat="1" x14ac:dyDescent="0.35"/>
    <row r="531" s="41" customFormat="1" x14ac:dyDescent="0.35"/>
    <row r="532" s="41" customFormat="1" x14ac:dyDescent="0.35"/>
    <row r="533" s="41" customFormat="1" x14ac:dyDescent="0.35"/>
    <row r="534" s="41" customFormat="1" x14ac:dyDescent="0.35"/>
    <row r="535" s="41" customFormat="1" x14ac:dyDescent="0.35"/>
    <row r="536" s="41" customFormat="1" x14ac:dyDescent="0.35"/>
    <row r="537" s="41" customFormat="1" x14ac:dyDescent="0.35"/>
    <row r="538" s="41" customFormat="1" x14ac:dyDescent="0.35"/>
    <row r="539" s="41" customFormat="1" x14ac:dyDescent="0.35"/>
    <row r="540" s="41" customFormat="1" x14ac:dyDescent="0.35"/>
    <row r="541" s="41" customFormat="1" x14ac:dyDescent="0.35"/>
    <row r="542" s="41" customFormat="1" x14ac:dyDescent="0.35"/>
    <row r="543" s="41" customFormat="1" x14ac:dyDescent="0.35"/>
    <row r="544" s="41" customFormat="1" x14ac:dyDescent="0.35"/>
    <row r="545" s="41" customFormat="1" x14ac:dyDescent="0.35"/>
    <row r="546" s="41" customFormat="1" x14ac:dyDescent="0.35"/>
    <row r="547" s="41" customFormat="1" x14ac:dyDescent="0.35"/>
    <row r="548" s="41" customFormat="1" x14ac:dyDescent="0.35"/>
    <row r="549" s="41" customFormat="1" x14ac:dyDescent="0.35"/>
    <row r="550" s="41" customFormat="1" x14ac:dyDescent="0.35"/>
    <row r="551" s="41" customFormat="1" x14ac:dyDescent="0.35"/>
    <row r="552" s="41" customFormat="1" x14ac:dyDescent="0.35"/>
    <row r="553" s="41" customFormat="1" x14ac:dyDescent="0.35"/>
    <row r="554" s="41" customFormat="1" x14ac:dyDescent="0.35"/>
    <row r="555" s="41" customFormat="1" x14ac:dyDescent="0.35"/>
    <row r="556" s="41" customFormat="1" x14ac:dyDescent="0.35"/>
    <row r="557" s="41" customFormat="1" x14ac:dyDescent="0.35"/>
    <row r="558" s="41" customFormat="1" x14ac:dyDescent="0.35"/>
    <row r="559" s="41" customFormat="1" x14ac:dyDescent="0.35"/>
    <row r="560" s="41" customFormat="1" x14ac:dyDescent="0.35"/>
    <row r="561" s="41" customFormat="1" x14ac:dyDescent="0.35"/>
    <row r="562" s="41" customFormat="1" x14ac:dyDescent="0.35"/>
    <row r="563" s="41" customFormat="1" x14ac:dyDescent="0.35"/>
    <row r="564" s="41" customFormat="1" x14ac:dyDescent="0.35"/>
    <row r="565" s="41" customFormat="1" x14ac:dyDescent="0.35"/>
    <row r="566" s="41" customFormat="1" x14ac:dyDescent="0.35"/>
    <row r="567" s="41" customFormat="1" x14ac:dyDescent="0.35"/>
    <row r="568" s="41" customFormat="1" x14ac:dyDescent="0.35"/>
    <row r="569" s="41" customFormat="1" x14ac:dyDescent="0.35"/>
    <row r="570" s="41" customFormat="1" x14ac:dyDescent="0.35"/>
    <row r="571" s="41" customFormat="1" x14ac:dyDescent="0.35"/>
    <row r="572" s="41" customFormat="1" x14ac:dyDescent="0.35"/>
    <row r="573" s="41" customFormat="1" x14ac:dyDescent="0.35"/>
    <row r="574" s="41" customFormat="1" x14ac:dyDescent="0.35"/>
    <row r="575" s="41" customFormat="1" x14ac:dyDescent="0.35"/>
    <row r="576" s="41" customFormat="1" x14ac:dyDescent="0.35"/>
    <row r="577" s="41" customFormat="1" x14ac:dyDescent="0.35"/>
    <row r="578" s="41" customFormat="1" x14ac:dyDescent="0.35"/>
    <row r="579" s="41" customFormat="1" x14ac:dyDescent="0.35"/>
    <row r="580" s="41" customFormat="1" x14ac:dyDescent="0.35"/>
    <row r="581" s="41" customFormat="1" x14ac:dyDescent="0.35"/>
    <row r="582" s="41" customFormat="1" x14ac:dyDescent="0.35"/>
    <row r="583" s="41" customFormat="1" x14ac:dyDescent="0.35"/>
    <row r="584" s="41" customFormat="1" x14ac:dyDescent="0.35"/>
    <row r="585" s="41" customFormat="1" x14ac:dyDescent="0.35"/>
    <row r="586" s="41" customFormat="1" x14ac:dyDescent="0.35"/>
    <row r="587" s="41" customFormat="1" x14ac:dyDescent="0.35"/>
    <row r="588" s="41" customFormat="1" x14ac:dyDescent="0.35"/>
    <row r="589" s="41" customFormat="1" x14ac:dyDescent="0.35"/>
    <row r="590" s="41" customFormat="1" x14ac:dyDescent="0.35"/>
    <row r="591" s="41" customFormat="1" x14ac:dyDescent="0.35"/>
    <row r="592" s="41" customFormat="1" x14ac:dyDescent="0.35"/>
    <row r="593" s="41" customFormat="1" x14ac:dyDescent="0.35"/>
    <row r="594" s="41" customFormat="1" x14ac:dyDescent="0.35"/>
    <row r="595" s="41" customFormat="1" x14ac:dyDescent="0.35"/>
    <row r="596" s="41" customFormat="1" x14ac:dyDescent="0.35"/>
    <row r="597" s="41" customFormat="1" x14ac:dyDescent="0.35"/>
    <row r="598" s="41" customFormat="1" x14ac:dyDescent="0.35"/>
    <row r="599" s="41" customFormat="1" x14ac:dyDescent="0.35"/>
    <row r="600" s="41" customFormat="1" x14ac:dyDescent="0.35"/>
    <row r="601" s="41" customFormat="1" x14ac:dyDescent="0.35"/>
    <row r="602" s="41" customFormat="1" x14ac:dyDescent="0.35"/>
    <row r="603" s="41" customFormat="1" x14ac:dyDescent="0.35"/>
    <row r="604" s="41" customFormat="1" x14ac:dyDescent="0.35"/>
    <row r="605" s="41" customFormat="1" x14ac:dyDescent="0.35"/>
    <row r="606" s="41" customFormat="1" x14ac:dyDescent="0.35"/>
    <row r="607" s="41" customFormat="1" x14ac:dyDescent="0.35"/>
    <row r="608" s="41" customFormat="1" x14ac:dyDescent="0.35"/>
    <row r="609" s="41" customFormat="1" x14ac:dyDescent="0.35"/>
    <row r="610" s="41" customFormat="1" x14ac:dyDescent="0.35"/>
    <row r="611" s="41" customFormat="1" x14ac:dyDescent="0.35"/>
    <row r="612" s="41" customFormat="1" x14ac:dyDescent="0.35"/>
    <row r="613" s="41" customFormat="1" x14ac:dyDescent="0.35"/>
  </sheetData>
  <sheetProtection algorithmName="SHA-512" hashValue="m9vSPqsryNsbdXejFwWb1CNqgq2erofjDRKBRNbqD7RHTrS8+J1oOp3v1eOBi9irHfpFt2611sThFcviMZyiQA==" saltValue="cY2NZPkyn/Ob1xPTfQvLAw==" spinCount="100000" sheet="1" objects="1" scenarios="1"/>
  <mergeCells count="6">
    <mergeCell ref="C27:L27"/>
    <mergeCell ref="H4:K4"/>
    <mergeCell ref="A9:A10"/>
    <mergeCell ref="A11:A25"/>
    <mergeCell ref="F4:G4"/>
    <mergeCell ref="C9:C25"/>
  </mergeCells>
  <pageMargins left="0.7" right="0.7" top="0.75" bottom="0.75" header="0.3" footer="0.3"/>
  <pageSetup orientation="portrait" verticalDpi="300" r:id="rId1"/>
  <ignoredErrors>
    <ignoredError sqref="E10:E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39FA-D6D7-4772-A4B2-9C39666F14FE}">
  <dimension ref="A1:AB45"/>
  <sheetViews>
    <sheetView topLeftCell="A3" zoomScale="70" zoomScaleNormal="70" workbookViewId="0">
      <selection activeCell="L9" sqref="L9"/>
    </sheetView>
  </sheetViews>
  <sheetFormatPr defaultColWidth="8.7265625" defaultRowHeight="14.5" x14ac:dyDescent="0.35"/>
  <cols>
    <col min="1" max="1" width="9.54296875" style="36" customWidth="1"/>
    <col min="2" max="2" width="8.7265625" style="36"/>
    <col min="3" max="3" width="11.1796875" style="36" customWidth="1"/>
    <col min="4" max="4" width="8.7265625" style="36"/>
    <col min="5" max="5" width="10.26953125" style="42" customWidth="1"/>
    <col min="6" max="13" width="12.453125" style="36" customWidth="1"/>
    <col min="14" max="14" width="2.54296875" style="36" customWidth="1"/>
    <col min="15" max="15" width="10.81640625" style="36" customWidth="1"/>
    <col min="16" max="16" width="8.7265625" style="36"/>
    <col min="17" max="17" width="2.1796875" style="36" customWidth="1"/>
    <col min="18" max="18" width="8.7265625" style="36"/>
    <col min="19" max="26" width="11.453125" style="36" customWidth="1"/>
    <col min="27" max="16384" width="8.7265625" style="36"/>
  </cols>
  <sheetData>
    <row r="1" spans="1:28" x14ac:dyDescent="0.35">
      <c r="E1" s="36"/>
    </row>
    <row r="2" spans="1:28" x14ac:dyDescent="0.35">
      <c r="E2" s="36"/>
    </row>
    <row r="3" spans="1:28" ht="15" thickBot="1" x14ac:dyDescent="0.4">
      <c r="E3" s="36"/>
    </row>
    <row r="4" spans="1:28" ht="15" thickBot="1" x14ac:dyDescent="0.4">
      <c r="B4" s="77"/>
      <c r="C4" s="78"/>
      <c r="D4" s="78"/>
      <c r="E4" s="78"/>
      <c r="F4" s="337" t="s">
        <v>74</v>
      </c>
      <c r="G4" s="338"/>
      <c r="H4" s="338"/>
      <c r="I4" s="338"/>
      <c r="J4" s="338"/>
      <c r="K4" s="338"/>
      <c r="L4" s="338"/>
      <c r="M4" s="339"/>
      <c r="O4" s="79"/>
      <c r="P4" s="46"/>
      <c r="R4" s="43"/>
      <c r="S4" s="337" t="s">
        <v>75</v>
      </c>
      <c r="T4" s="338"/>
      <c r="U4" s="338"/>
      <c r="V4" s="338"/>
      <c r="W4" s="338"/>
      <c r="X4" s="338"/>
      <c r="Y4" s="338"/>
      <c r="Z4" s="339"/>
    </row>
    <row r="5" spans="1:28" ht="56.5" customHeight="1" x14ac:dyDescent="0.35">
      <c r="B5" s="348" t="s">
        <v>0</v>
      </c>
      <c r="C5" s="80"/>
      <c r="D5" s="80"/>
      <c r="E5" s="345" t="s">
        <v>118</v>
      </c>
      <c r="F5" s="45" t="s">
        <v>64</v>
      </c>
      <c r="G5" s="45" t="s">
        <v>65</v>
      </c>
      <c r="H5" s="45" t="s">
        <v>66</v>
      </c>
      <c r="I5" s="45" t="s">
        <v>67</v>
      </c>
      <c r="J5" s="45" t="s">
        <v>68</v>
      </c>
      <c r="K5" s="45" t="s">
        <v>69</v>
      </c>
      <c r="L5" s="45" t="s">
        <v>70</v>
      </c>
      <c r="M5" s="46" t="s">
        <v>71</v>
      </c>
      <c r="O5" s="81" t="s">
        <v>5</v>
      </c>
      <c r="P5" s="82" t="s">
        <v>8</v>
      </c>
      <c r="R5" s="47"/>
      <c r="S5" s="58" t="s">
        <v>64</v>
      </c>
      <c r="T5" s="58" t="s">
        <v>65</v>
      </c>
      <c r="U5" s="58" t="s">
        <v>66</v>
      </c>
      <c r="V5" s="58" t="s">
        <v>67</v>
      </c>
      <c r="W5" s="58" t="s">
        <v>68</v>
      </c>
      <c r="X5" s="83" t="s">
        <v>69</v>
      </c>
      <c r="Y5" s="58" t="s">
        <v>70</v>
      </c>
      <c r="Z5" s="82" t="s">
        <v>71</v>
      </c>
    </row>
    <row r="6" spans="1:28" x14ac:dyDescent="0.35">
      <c r="B6" s="349"/>
      <c r="C6" s="84"/>
      <c r="D6" s="84"/>
      <c r="E6" s="346"/>
      <c r="F6" s="50" t="s">
        <v>63</v>
      </c>
      <c r="G6" s="50" t="s">
        <v>63</v>
      </c>
      <c r="H6" s="50" t="s">
        <v>63</v>
      </c>
      <c r="I6" s="50" t="s">
        <v>63</v>
      </c>
      <c r="J6" s="50" t="s">
        <v>63</v>
      </c>
      <c r="K6" s="50" t="s">
        <v>63</v>
      </c>
      <c r="L6" s="50" t="s">
        <v>63</v>
      </c>
      <c r="M6" s="55" t="s">
        <v>63</v>
      </c>
      <c r="O6" s="85"/>
      <c r="P6" s="52"/>
      <c r="R6" s="53"/>
      <c r="S6" s="50" t="s">
        <v>63</v>
      </c>
      <c r="T6" s="50" t="s">
        <v>63</v>
      </c>
      <c r="U6" s="50" t="s">
        <v>63</v>
      </c>
      <c r="V6" s="50" t="s">
        <v>63</v>
      </c>
      <c r="W6" s="50" t="s">
        <v>63</v>
      </c>
      <c r="X6" s="50" t="s">
        <v>63</v>
      </c>
      <c r="Y6" s="50" t="s">
        <v>63</v>
      </c>
      <c r="Z6" s="55" t="s">
        <v>63</v>
      </c>
    </row>
    <row r="7" spans="1:28" ht="28.5" customHeight="1" x14ac:dyDescent="0.35">
      <c r="B7" s="350"/>
      <c r="C7" s="86"/>
      <c r="D7" s="86" t="s">
        <v>0</v>
      </c>
      <c r="E7" s="347"/>
      <c r="F7" s="50" t="s">
        <v>55</v>
      </c>
      <c r="G7" s="50" t="s">
        <v>56</v>
      </c>
      <c r="H7" s="50" t="s">
        <v>57</v>
      </c>
      <c r="I7" s="50" t="s">
        <v>58</v>
      </c>
      <c r="J7" s="50" t="s">
        <v>59</v>
      </c>
      <c r="K7" s="50" t="s">
        <v>60</v>
      </c>
      <c r="L7" s="50" t="s">
        <v>61</v>
      </c>
      <c r="M7" s="55" t="s">
        <v>62</v>
      </c>
      <c r="O7" s="56" t="s">
        <v>119</v>
      </c>
      <c r="P7" s="55" t="s">
        <v>12</v>
      </c>
      <c r="R7" s="56" t="s">
        <v>0</v>
      </c>
      <c r="S7" s="50" t="s">
        <v>55</v>
      </c>
      <c r="T7" s="50" t="s">
        <v>56</v>
      </c>
      <c r="U7" s="50" t="s">
        <v>57</v>
      </c>
      <c r="V7" s="50" t="s">
        <v>58</v>
      </c>
      <c r="W7" s="50" t="s">
        <v>59</v>
      </c>
      <c r="X7" s="50" t="s">
        <v>60</v>
      </c>
      <c r="Y7" s="50" t="s">
        <v>61</v>
      </c>
      <c r="Z7" s="55" t="s">
        <v>62</v>
      </c>
    </row>
    <row r="8" spans="1:28" ht="15" thickBot="1" x14ac:dyDescent="0.4">
      <c r="B8" s="59"/>
      <c r="C8" s="60"/>
      <c r="D8" s="60"/>
      <c r="E8" s="60"/>
      <c r="F8" s="61"/>
      <c r="G8" s="61"/>
      <c r="H8" s="61"/>
      <c r="I8" s="61"/>
      <c r="J8" s="61"/>
      <c r="K8" s="61"/>
      <c r="L8" s="61"/>
      <c r="M8" s="62"/>
      <c r="O8" s="59"/>
      <c r="P8" s="62"/>
      <c r="R8" s="59"/>
      <c r="S8" s="61"/>
      <c r="T8" s="61"/>
      <c r="U8" s="61"/>
      <c r="V8" s="61"/>
      <c r="W8" s="61"/>
      <c r="X8" s="61"/>
      <c r="Y8" s="61"/>
      <c r="Z8" s="62"/>
    </row>
    <row r="9" spans="1:28" x14ac:dyDescent="0.35">
      <c r="A9" s="340" t="s">
        <v>29</v>
      </c>
      <c r="B9" s="63">
        <v>1</v>
      </c>
      <c r="C9" s="332" t="s">
        <v>208</v>
      </c>
      <c r="D9" s="64">
        <v>1</v>
      </c>
      <c r="E9" s="64">
        <v>1</v>
      </c>
      <c r="F9" s="87">
        <v>0</v>
      </c>
      <c r="G9" s="87">
        <v>0</v>
      </c>
      <c r="H9" s="87">
        <v>0</v>
      </c>
      <c r="I9" s="87">
        <v>0</v>
      </c>
      <c r="J9" s="87">
        <v>0</v>
      </c>
      <c r="K9" s="87">
        <v>0</v>
      </c>
      <c r="L9" s="87">
        <v>0</v>
      </c>
      <c r="M9" s="101">
        <v>0</v>
      </c>
      <c r="O9" s="88">
        <f>(1+'F2-F Service Payment and NPV'!$I$36)^(E9-1)</f>
        <v>1</v>
      </c>
      <c r="P9" s="89">
        <f>(1+'F2-F Service Payment and NPV'!$I$34)^(E9-1)</f>
        <v>1</v>
      </c>
      <c r="R9" s="63">
        <f>B9</f>
        <v>1</v>
      </c>
      <c r="S9" s="87">
        <f t="shared" ref="S9:S10" si="0">F9</f>
        <v>0</v>
      </c>
      <c r="T9" s="87">
        <f t="shared" ref="T9:T10" si="1">G9</f>
        <v>0</v>
      </c>
      <c r="U9" s="87">
        <f>H9</f>
        <v>0</v>
      </c>
      <c r="V9" s="87">
        <f t="shared" ref="V9:V25" si="2">I9</f>
        <v>0</v>
      </c>
      <c r="W9" s="87">
        <f>J9*O9</f>
        <v>0</v>
      </c>
      <c r="X9" s="87">
        <f>K9</f>
        <v>0</v>
      </c>
      <c r="Y9" s="87">
        <f>L9*P9</f>
        <v>0</v>
      </c>
      <c r="Z9" s="90">
        <f>M9*P9</f>
        <v>0</v>
      </c>
    </row>
    <row r="10" spans="1:28" ht="15" thickBot="1" x14ac:dyDescent="0.4">
      <c r="A10" s="341"/>
      <c r="B10" s="63">
        <v>1.5</v>
      </c>
      <c r="C10" s="333"/>
      <c r="D10" s="64">
        <v>1.5</v>
      </c>
      <c r="E10" s="64">
        <v>1.5</v>
      </c>
      <c r="F10" s="87">
        <v>0</v>
      </c>
      <c r="G10" s="87">
        <v>0</v>
      </c>
      <c r="H10" s="87">
        <v>0</v>
      </c>
      <c r="I10" s="87">
        <v>0</v>
      </c>
      <c r="J10" s="87">
        <v>0</v>
      </c>
      <c r="K10" s="87">
        <v>0</v>
      </c>
      <c r="L10" s="87">
        <v>0</v>
      </c>
      <c r="M10" s="101">
        <v>0</v>
      </c>
      <c r="O10" s="88">
        <f>(1+'F2-F Service Payment and NPV'!$I$36)^(E10-1)</f>
        <v>1.0440306508910551</v>
      </c>
      <c r="P10" s="89">
        <f>(1+'F2-F Service Payment and NPV'!$I$34)^(E10-1)</f>
        <v>1.0440306508910551</v>
      </c>
      <c r="R10" s="63">
        <f t="shared" ref="R10:R25" si="3">B10</f>
        <v>1.5</v>
      </c>
      <c r="S10" s="87">
        <f t="shared" si="0"/>
        <v>0</v>
      </c>
      <c r="T10" s="87">
        <f t="shared" si="1"/>
        <v>0</v>
      </c>
      <c r="U10" s="87">
        <f t="shared" ref="U10:U25" si="4">H10</f>
        <v>0</v>
      </c>
      <c r="V10" s="87">
        <f t="shared" si="2"/>
        <v>0</v>
      </c>
      <c r="W10" s="87">
        <f t="shared" ref="W10:W25" si="5">J10*O10</f>
        <v>0</v>
      </c>
      <c r="X10" s="87">
        <f t="shared" ref="X10:X25" si="6">K10</f>
        <v>0</v>
      </c>
      <c r="Y10" s="87">
        <f t="shared" ref="Y10:Y25" si="7">L10*P10</f>
        <v>0</v>
      </c>
      <c r="Z10" s="90">
        <f t="shared" ref="Z10:Z25" si="8">M10*P10</f>
        <v>0</v>
      </c>
      <c r="AA10" s="91"/>
      <c r="AB10" s="91"/>
    </row>
    <row r="11" spans="1:28" x14ac:dyDescent="0.35">
      <c r="A11" s="342" t="s">
        <v>30</v>
      </c>
      <c r="B11" s="63">
        <v>1</v>
      </c>
      <c r="C11" s="333"/>
      <c r="D11" s="64">
        <f>D10+1</f>
        <v>2.5</v>
      </c>
      <c r="E11" s="64">
        <f t="shared" ref="E11:E25" si="9">E10+1</f>
        <v>2.5</v>
      </c>
      <c r="F11" s="34">
        <v>0</v>
      </c>
      <c r="G11" s="34">
        <v>0</v>
      </c>
      <c r="H11" s="34">
        <v>0</v>
      </c>
      <c r="I11" s="34">
        <v>0</v>
      </c>
      <c r="J11" s="34">
        <v>0</v>
      </c>
      <c r="K11" s="34">
        <v>0</v>
      </c>
      <c r="L11" s="34">
        <v>0</v>
      </c>
      <c r="M11" s="101">
        <v>0</v>
      </c>
      <c r="O11" s="88">
        <f>(1+'F2-F Service Payment and NPV'!$I$36)^(E11-1)</f>
        <v>1.1379934094712501</v>
      </c>
      <c r="P11" s="89">
        <f>(1+'F2-F Service Payment and NPV'!$I$34)^(E11-1)</f>
        <v>1.1379934094712501</v>
      </c>
      <c r="R11" s="63">
        <f t="shared" si="3"/>
        <v>1</v>
      </c>
      <c r="S11" s="92">
        <f>F11*O11</f>
        <v>0</v>
      </c>
      <c r="T11" s="92">
        <f>G11*O11</f>
        <v>0</v>
      </c>
      <c r="U11" s="92">
        <f t="shared" si="4"/>
        <v>0</v>
      </c>
      <c r="V11" s="92">
        <f t="shared" si="2"/>
        <v>0</v>
      </c>
      <c r="W11" s="93">
        <f>J11*O11</f>
        <v>0</v>
      </c>
      <c r="X11" s="93">
        <f t="shared" si="6"/>
        <v>0</v>
      </c>
      <c r="Y11" s="92">
        <f t="shared" si="7"/>
        <v>0</v>
      </c>
      <c r="Z11" s="90">
        <f t="shared" si="8"/>
        <v>0</v>
      </c>
      <c r="AA11" s="91"/>
      <c r="AB11" s="91"/>
    </row>
    <row r="12" spans="1:28" x14ac:dyDescent="0.35">
      <c r="A12" s="343"/>
      <c r="B12" s="63">
        <f t="shared" ref="B12:B25" si="10">B11+1</f>
        <v>2</v>
      </c>
      <c r="C12" s="333"/>
      <c r="D12" s="64">
        <f t="shared" ref="D12:D25" si="11">D11+1</f>
        <v>3.5</v>
      </c>
      <c r="E12" s="64">
        <f t="shared" si="9"/>
        <v>3.5</v>
      </c>
      <c r="F12" s="34">
        <v>0</v>
      </c>
      <c r="G12" s="34">
        <v>0</v>
      </c>
      <c r="H12" s="34">
        <v>0</v>
      </c>
      <c r="I12" s="34">
        <v>0</v>
      </c>
      <c r="J12" s="34">
        <v>0</v>
      </c>
      <c r="K12" s="34">
        <v>0</v>
      </c>
      <c r="L12" s="34">
        <v>0</v>
      </c>
      <c r="M12" s="101">
        <v>0</v>
      </c>
      <c r="O12" s="88">
        <f>(1+'F2-F Service Payment and NPV'!$I$36)^(E12-1)</f>
        <v>1.2404128163236627</v>
      </c>
      <c r="P12" s="89">
        <f>(1+'F2-F Service Payment and NPV'!$I$34)^(E12-1)</f>
        <v>1.2404128163236627</v>
      </c>
      <c r="R12" s="63">
        <f t="shared" si="3"/>
        <v>2</v>
      </c>
      <c r="S12" s="92">
        <f t="shared" ref="S12:S25" si="12">F12*O12</f>
        <v>0</v>
      </c>
      <c r="T12" s="92">
        <f t="shared" ref="T12:T25" si="13">G12*O12</f>
        <v>0</v>
      </c>
      <c r="U12" s="92">
        <f t="shared" si="4"/>
        <v>0</v>
      </c>
      <c r="V12" s="92">
        <f t="shared" si="2"/>
        <v>0</v>
      </c>
      <c r="W12" s="93">
        <f t="shared" si="5"/>
        <v>0</v>
      </c>
      <c r="X12" s="93">
        <f t="shared" si="6"/>
        <v>0</v>
      </c>
      <c r="Y12" s="92">
        <f t="shared" si="7"/>
        <v>0</v>
      </c>
      <c r="Z12" s="90">
        <f t="shared" si="8"/>
        <v>0</v>
      </c>
      <c r="AA12" s="91"/>
      <c r="AB12" s="91"/>
    </row>
    <row r="13" spans="1:28" x14ac:dyDescent="0.35">
      <c r="A13" s="343"/>
      <c r="B13" s="63">
        <f t="shared" si="10"/>
        <v>3</v>
      </c>
      <c r="C13" s="333"/>
      <c r="D13" s="64">
        <f t="shared" si="11"/>
        <v>4.5</v>
      </c>
      <c r="E13" s="64">
        <f t="shared" si="9"/>
        <v>4.5</v>
      </c>
      <c r="F13" s="34">
        <v>0</v>
      </c>
      <c r="G13" s="34">
        <v>0</v>
      </c>
      <c r="H13" s="34">
        <v>0</v>
      </c>
      <c r="I13" s="34">
        <v>0</v>
      </c>
      <c r="J13" s="34">
        <v>0</v>
      </c>
      <c r="K13" s="34">
        <v>0</v>
      </c>
      <c r="L13" s="34">
        <v>0</v>
      </c>
      <c r="M13" s="101">
        <v>0</v>
      </c>
      <c r="O13" s="88">
        <f>(1+'F2-F Service Payment and NPV'!$I$36)^(E13-1)</f>
        <v>1.3520499697927923</v>
      </c>
      <c r="P13" s="89">
        <f>(1+'F2-F Service Payment and NPV'!$I$34)^(E13-1)</f>
        <v>1.3520499697927923</v>
      </c>
      <c r="R13" s="63">
        <f t="shared" si="3"/>
        <v>3</v>
      </c>
      <c r="S13" s="92">
        <f t="shared" si="12"/>
        <v>0</v>
      </c>
      <c r="T13" s="92">
        <f t="shared" si="13"/>
        <v>0</v>
      </c>
      <c r="U13" s="92">
        <f t="shared" si="4"/>
        <v>0</v>
      </c>
      <c r="V13" s="92">
        <f t="shared" si="2"/>
        <v>0</v>
      </c>
      <c r="W13" s="93">
        <f t="shared" si="5"/>
        <v>0</v>
      </c>
      <c r="X13" s="93">
        <f t="shared" si="6"/>
        <v>0</v>
      </c>
      <c r="Y13" s="92">
        <f t="shared" si="7"/>
        <v>0</v>
      </c>
      <c r="Z13" s="90">
        <f t="shared" si="8"/>
        <v>0</v>
      </c>
      <c r="AA13" s="91"/>
      <c r="AB13" s="91"/>
    </row>
    <row r="14" spans="1:28" x14ac:dyDescent="0.35">
      <c r="A14" s="343"/>
      <c r="B14" s="63">
        <f t="shared" si="10"/>
        <v>4</v>
      </c>
      <c r="C14" s="333"/>
      <c r="D14" s="64">
        <f t="shared" si="11"/>
        <v>5.5</v>
      </c>
      <c r="E14" s="64">
        <f t="shared" si="9"/>
        <v>5.5</v>
      </c>
      <c r="F14" s="34">
        <v>0</v>
      </c>
      <c r="G14" s="34">
        <v>0</v>
      </c>
      <c r="H14" s="34">
        <v>0</v>
      </c>
      <c r="I14" s="34">
        <v>0</v>
      </c>
      <c r="J14" s="34">
        <v>0</v>
      </c>
      <c r="K14" s="34">
        <v>0</v>
      </c>
      <c r="L14" s="34">
        <v>0</v>
      </c>
      <c r="M14" s="101">
        <v>0</v>
      </c>
      <c r="O14" s="88">
        <f>(1+'F2-F Service Payment and NPV'!$I$36)^(E14-1)</f>
        <v>1.4737344670741439</v>
      </c>
      <c r="P14" s="89">
        <f>(1+'F2-F Service Payment and NPV'!$I$34)^(E14-1)</f>
        <v>1.4737344670741439</v>
      </c>
      <c r="R14" s="63">
        <f t="shared" si="3"/>
        <v>4</v>
      </c>
      <c r="S14" s="92">
        <f t="shared" si="12"/>
        <v>0</v>
      </c>
      <c r="T14" s="92">
        <f t="shared" si="13"/>
        <v>0</v>
      </c>
      <c r="U14" s="92">
        <f t="shared" si="4"/>
        <v>0</v>
      </c>
      <c r="V14" s="92">
        <f t="shared" si="2"/>
        <v>0</v>
      </c>
      <c r="W14" s="93">
        <f t="shared" si="5"/>
        <v>0</v>
      </c>
      <c r="X14" s="93">
        <f t="shared" si="6"/>
        <v>0</v>
      </c>
      <c r="Y14" s="92">
        <f t="shared" si="7"/>
        <v>0</v>
      </c>
      <c r="Z14" s="90">
        <f t="shared" si="8"/>
        <v>0</v>
      </c>
      <c r="AA14" s="91"/>
      <c r="AB14" s="91"/>
    </row>
    <row r="15" spans="1:28" x14ac:dyDescent="0.35">
      <c r="A15" s="343"/>
      <c r="B15" s="63">
        <f t="shared" si="10"/>
        <v>5</v>
      </c>
      <c r="C15" s="333"/>
      <c r="D15" s="64">
        <f t="shared" si="11"/>
        <v>6.5</v>
      </c>
      <c r="E15" s="64">
        <f t="shared" si="9"/>
        <v>6.5</v>
      </c>
      <c r="F15" s="34">
        <v>0</v>
      </c>
      <c r="G15" s="34">
        <v>0</v>
      </c>
      <c r="H15" s="34">
        <v>0</v>
      </c>
      <c r="I15" s="34">
        <v>0</v>
      </c>
      <c r="J15" s="34">
        <v>0</v>
      </c>
      <c r="K15" s="34">
        <v>0</v>
      </c>
      <c r="L15" s="34">
        <v>0</v>
      </c>
      <c r="M15" s="101">
        <v>0</v>
      </c>
      <c r="O15" s="88">
        <f>(1+'F2-F Service Payment and NPV'!$I$36)^(E15-1)</f>
        <v>1.606370569110817</v>
      </c>
      <c r="P15" s="89">
        <f>(1+'F2-F Service Payment and NPV'!$I$34)^(E15-1)</f>
        <v>1.606370569110817</v>
      </c>
      <c r="R15" s="63">
        <f t="shared" si="3"/>
        <v>5</v>
      </c>
      <c r="S15" s="92">
        <f t="shared" si="12"/>
        <v>0</v>
      </c>
      <c r="T15" s="92">
        <f t="shared" si="13"/>
        <v>0</v>
      </c>
      <c r="U15" s="92">
        <f t="shared" si="4"/>
        <v>0</v>
      </c>
      <c r="V15" s="92">
        <f t="shared" si="2"/>
        <v>0</v>
      </c>
      <c r="W15" s="93">
        <f t="shared" si="5"/>
        <v>0</v>
      </c>
      <c r="X15" s="93">
        <f t="shared" si="6"/>
        <v>0</v>
      </c>
      <c r="Y15" s="92">
        <f t="shared" si="7"/>
        <v>0</v>
      </c>
      <c r="Z15" s="90">
        <f t="shared" si="8"/>
        <v>0</v>
      </c>
      <c r="AA15" s="91"/>
      <c r="AB15" s="91"/>
    </row>
    <row r="16" spans="1:28" x14ac:dyDescent="0.35">
      <c r="A16" s="343"/>
      <c r="B16" s="63">
        <f t="shared" si="10"/>
        <v>6</v>
      </c>
      <c r="C16" s="333"/>
      <c r="D16" s="64">
        <f t="shared" si="11"/>
        <v>7.5</v>
      </c>
      <c r="E16" s="64">
        <f t="shared" si="9"/>
        <v>7.5</v>
      </c>
      <c r="F16" s="34">
        <v>0</v>
      </c>
      <c r="G16" s="34">
        <v>0</v>
      </c>
      <c r="H16" s="34">
        <v>0</v>
      </c>
      <c r="I16" s="34">
        <v>0</v>
      </c>
      <c r="J16" s="34">
        <v>0</v>
      </c>
      <c r="K16" s="34">
        <v>0</v>
      </c>
      <c r="L16" s="34">
        <v>0</v>
      </c>
      <c r="M16" s="101">
        <v>0</v>
      </c>
      <c r="O16" s="88">
        <f>(1+'F2-F Service Payment and NPV'!$I$36)^(E16-1)</f>
        <v>1.7509439203307908</v>
      </c>
      <c r="P16" s="89">
        <f>(1+'F2-F Service Payment and NPV'!$I$34)^(E16-1)</f>
        <v>1.7509439203307908</v>
      </c>
      <c r="R16" s="63">
        <f t="shared" si="3"/>
        <v>6</v>
      </c>
      <c r="S16" s="92">
        <f t="shared" si="12"/>
        <v>0</v>
      </c>
      <c r="T16" s="92">
        <f t="shared" si="13"/>
        <v>0</v>
      </c>
      <c r="U16" s="92">
        <f t="shared" si="4"/>
        <v>0</v>
      </c>
      <c r="V16" s="92">
        <f t="shared" si="2"/>
        <v>0</v>
      </c>
      <c r="W16" s="93">
        <f t="shared" si="5"/>
        <v>0</v>
      </c>
      <c r="X16" s="93">
        <f t="shared" si="6"/>
        <v>0</v>
      </c>
      <c r="Y16" s="92">
        <f t="shared" si="7"/>
        <v>0</v>
      </c>
      <c r="Z16" s="90">
        <f t="shared" si="8"/>
        <v>0</v>
      </c>
      <c r="AA16" s="91"/>
      <c r="AB16" s="91"/>
    </row>
    <row r="17" spans="1:28" x14ac:dyDescent="0.35">
      <c r="A17" s="343"/>
      <c r="B17" s="63">
        <f t="shared" si="10"/>
        <v>7</v>
      </c>
      <c r="C17" s="333"/>
      <c r="D17" s="64">
        <f t="shared" si="11"/>
        <v>8.5</v>
      </c>
      <c r="E17" s="64">
        <f t="shared" si="9"/>
        <v>8.5</v>
      </c>
      <c r="F17" s="34">
        <v>0</v>
      </c>
      <c r="G17" s="34">
        <v>0</v>
      </c>
      <c r="H17" s="34">
        <v>0</v>
      </c>
      <c r="I17" s="34">
        <v>0</v>
      </c>
      <c r="J17" s="34">
        <v>0</v>
      </c>
      <c r="K17" s="34">
        <v>0</v>
      </c>
      <c r="L17" s="34">
        <v>0</v>
      </c>
      <c r="M17" s="101">
        <v>0</v>
      </c>
      <c r="O17" s="88">
        <f>(1+'F2-F Service Payment and NPV'!$I$36)^(E17-1)</f>
        <v>1.9085288731605621</v>
      </c>
      <c r="P17" s="89">
        <f>(1+'F2-F Service Payment and NPV'!$I$34)^(E17-1)</f>
        <v>1.9085288731605621</v>
      </c>
      <c r="R17" s="63">
        <f t="shared" si="3"/>
        <v>7</v>
      </c>
      <c r="S17" s="92">
        <f t="shared" si="12"/>
        <v>0</v>
      </c>
      <c r="T17" s="92">
        <f t="shared" si="13"/>
        <v>0</v>
      </c>
      <c r="U17" s="92">
        <f t="shared" si="4"/>
        <v>0</v>
      </c>
      <c r="V17" s="92">
        <f t="shared" si="2"/>
        <v>0</v>
      </c>
      <c r="W17" s="93">
        <f t="shared" si="5"/>
        <v>0</v>
      </c>
      <c r="X17" s="93">
        <f t="shared" si="6"/>
        <v>0</v>
      </c>
      <c r="Y17" s="92">
        <f t="shared" si="7"/>
        <v>0</v>
      </c>
      <c r="Z17" s="90">
        <f t="shared" si="8"/>
        <v>0</v>
      </c>
      <c r="AA17" s="91"/>
      <c r="AB17" s="91"/>
    </row>
    <row r="18" spans="1:28" x14ac:dyDescent="0.35">
      <c r="A18" s="343"/>
      <c r="B18" s="63">
        <f t="shared" si="10"/>
        <v>8</v>
      </c>
      <c r="C18" s="333"/>
      <c r="D18" s="64">
        <f t="shared" si="11"/>
        <v>9.5</v>
      </c>
      <c r="E18" s="64">
        <f t="shared" si="9"/>
        <v>9.5</v>
      </c>
      <c r="F18" s="34">
        <v>0</v>
      </c>
      <c r="G18" s="34">
        <v>0</v>
      </c>
      <c r="H18" s="34">
        <v>0</v>
      </c>
      <c r="I18" s="34">
        <v>0</v>
      </c>
      <c r="J18" s="34">
        <v>0</v>
      </c>
      <c r="K18" s="34">
        <v>0</v>
      </c>
      <c r="L18" s="34">
        <v>0</v>
      </c>
      <c r="M18" s="101">
        <v>0</v>
      </c>
      <c r="O18" s="88">
        <f>(1+'F2-F Service Payment and NPV'!$I$36)^(E18-1)</f>
        <v>2.0802964717450125</v>
      </c>
      <c r="P18" s="89">
        <f>(1+'F2-F Service Payment and NPV'!$I$34)^(E18-1)</f>
        <v>2.0802964717450125</v>
      </c>
      <c r="R18" s="63">
        <f t="shared" si="3"/>
        <v>8</v>
      </c>
      <c r="S18" s="92">
        <f t="shared" si="12"/>
        <v>0</v>
      </c>
      <c r="T18" s="92">
        <f t="shared" si="13"/>
        <v>0</v>
      </c>
      <c r="U18" s="92">
        <f t="shared" si="4"/>
        <v>0</v>
      </c>
      <c r="V18" s="92">
        <f t="shared" si="2"/>
        <v>0</v>
      </c>
      <c r="W18" s="93">
        <f t="shared" si="5"/>
        <v>0</v>
      </c>
      <c r="X18" s="93">
        <f t="shared" si="6"/>
        <v>0</v>
      </c>
      <c r="Y18" s="92">
        <f t="shared" si="7"/>
        <v>0</v>
      </c>
      <c r="Z18" s="90">
        <f t="shared" si="8"/>
        <v>0</v>
      </c>
      <c r="AA18" s="91"/>
      <c r="AB18" s="91"/>
    </row>
    <row r="19" spans="1:28" x14ac:dyDescent="0.35">
      <c r="A19" s="343"/>
      <c r="B19" s="63">
        <f t="shared" si="10"/>
        <v>9</v>
      </c>
      <c r="C19" s="333"/>
      <c r="D19" s="64">
        <f t="shared" si="11"/>
        <v>10.5</v>
      </c>
      <c r="E19" s="64">
        <f t="shared" si="9"/>
        <v>10.5</v>
      </c>
      <c r="F19" s="34">
        <v>0</v>
      </c>
      <c r="G19" s="34">
        <v>0</v>
      </c>
      <c r="H19" s="34">
        <v>0</v>
      </c>
      <c r="I19" s="34">
        <v>0</v>
      </c>
      <c r="J19" s="34">
        <v>0</v>
      </c>
      <c r="K19" s="34">
        <v>0</v>
      </c>
      <c r="L19" s="34">
        <v>0</v>
      </c>
      <c r="M19" s="101">
        <v>0</v>
      </c>
      <c r="O19" s="88">
        <f>(1+'F2-F Service Payment and NPV'!$I$36)^(E19-1)</f>
        <v>2.2675231542020637</v>
      </c>
      <c r="P19" s="89">
        <f>(1+'F2-F Service Payment and NPV'!$I$34)^(E19-1)</f>
        <v>2.2675231542020637</v>
      </c>
      <c r="R19" s="63">
        <f t="shared" si="3"/>
        <v>9</v>
      </c>
      <c r="S19" s="92">
        <f t="shared" si="12"/>
        <v>0</v>
      </c>
      <c r="T19" s="92">
        <f t="shared" si="13"/>
        <v>0</v>
      </c>
      <c r="U19" s="92">
        <f t="shared" si="4"/>
        <v>0</v>
      </c>
      <c r="V19" s="92">
        <f t="shared" si="2"/>
        <v>0</v>
      </c>
      <c r="W19" s="93">
        <f t="shared" si="5"/>
        <v>0</v>
      </c>
      <c r="X19" s="93">
        <f t="shared" si="6"/>
        <v>0</v>
      </c>
      <c r="Y19" s="92">
        <f t="shared" si="7"/>
        <v>0</v>
      </c>
      <c r="Z19" s="90">
        <f t="shared" si="8"/>
        <v>0</v>
      </c>
      <c r="AA19" s="91"/>
      <c r="AB19" s="91"/>
    </row>
    <row r="20" spans="1:28" x14ac:dyDescent="0.35">
      <c r="A20" s="343"/>
      <c r="B20" s="63">
        <f t="shared" si="10"/>
        <v>10</v>
      </c>
      <c r="C20" s="333"/>
      <c r="D20" s="64">
        <f t="shared" si="11"/>
        <v>11.5</v>
      </c>
      <c r="E20" s="64">
        <f t="shared" si="9"/>
        <v>11.5</v>
      </c>
      <c r="F20" s="34">
        <v>0</v>
      </c>
      <c r="G20" s="34">
        <v>0</v>
      </c>
      <c r="H20" s="34">
        <v>0</v>
      </c>
      <c r="I20" s="34">
        <v>0</v>
      </c>
      <c r="J20" s="34">
        <v>0</v>
      </c>
      <c r="K20" s="34">
        <v>0</v>
      </c>
      <c r="L20" s="34">
        <v>0</v>
      </c>
      <c r="M20" s="101">
        <v>0</v>
      </c>
      <c r="O20" s="88">
        <f>(1+'F2-F Service Payment and NPV'!$I$36)^(E20-1)</f>
        <v>2.4716002380802498</v>
      </c>
      <c r="P20" s="89">
        <f>(1+'F2-F Service Payment and NPV'!$I$34)^(E20-1)</f>
        <v>2.4716002380802498</v>
      </c>
      <c r="R20" s="63">
        <f t="shared" si="3"/>
        <v>10</v>
      </c>
      <c r="S20" s="92">
        <f t="shared" si="12"/>
        <v>0</v>
      </c>
      <c r="T20" s="92">
        <f t="shared" si="13"/>
        <v>0</v>
      </c>
      <c r="U20" s="92">
        <f t="shared" si="4"/>
        <v>0</v>
      </c>
      <c r="V20" s="92">
        <f t="shared" si="2"/>
        <v>0</v>
      </c>
      <c r="W20" s="93">
        <f t="shared" si="5"/>
        <v>0</v>
      </c>
      <c r="X20" s="93">
        <f t="shared" si="6"/>
        <v>0</v>
      </c>
      <c r="Y20" s="92">
        <f t="shared" si="7"/>
        <v>0</v>
      </c>
      <c r="Z20" s="90">
        <f t="shared" si="8"/>
        <v>0</v>
      </c>
      <c r="AA20" s="91"/>
      <c r="AB20" s="91"/>
    </row>
    <row r="21" spans="1:28" x14ac:dyDescent="0.35">
      <c r="A21" s="343"/>
      <c r="B21" s="63">
        <f t="shared" si="10"/>
        <v>11</v>
      </c>
      <c r="C21" s="333"/>
      <c r="D21" s="64">
        <f t="shared" si="11"/>
        <v>12.5</v>
      </c>
      <c r="E21" s="64">
        <f t="shared" si="9"/>
        <v>12.5</v>
      </c>
      <c r="F21" s="34">
        <v>0</v>
      </c>
      <c r="G21" s="34">
        <v>0</v>
      </c>
      <c r="H21" s="34">
        <v>0</v>
      </c>
      <c r="I21" s="34">
        <v>0</v>
      </c>
      <c r="J21" s="34">
        <v>0</v>
      </c>
      <c r="K21" s="34">
        <v>0</v>
      </c>
      <c r="L21" s="34">
        <v>0</v>
      </c>
      <c r="M21" s="101">
        <v>0</v>
      </c>
      <c r="O21" s="88">
        <f>(1+'F2-F Service Payment and NPV'!$I$36)^(E21-1)</f>
        <v>2.6940442595074727</v>
      </c>
      <c r="P21" s="89">
        <f>(1+'F2-F Service Payment and NPV'!$I$34)^(E21-1)</f>
        <v>2.6940442595074727</v>
      </c>
      <c r="R21" s="63">
        <f t="shared" si="3"/>
        <v>11</v>
      </c>
      <c r="S21" s="92">
        <f t="shared" si="12"/>
        <v>0</v>
      </c>
      <c r="T21" s="92">
        <f t="shared" si="13"/>
        <v>0</v>
      </c>
      <c r="U21" s="92">
        <f t="shared" si="4"/>
        <v>0</v>
      </c>
      <c r="V21" s="92">
        <f t="shared" si="2"/>
        <v>0</v>
      </c>
      <c r="W21" s="93">
        <f t="shared" si="5"/>
        <v>0</v>
      </c>
      <c r="X21" s="93">
        <f t="shared" si="6"/>
        <v>0</v>
      </c>
      <c r="Y21" s="92">
        <f t="shared" si="7"/>
        <v>0</v>
      </c>
      <c r="Z21" s="90">
        <f t="shared" si="8"/>
        <v>0</v>
      </c>
      <c r="AA21" s="91"/>
      <c r="AB21" s="91"/>
    </row>
    <row r="22" spans="1:28" x14ac:dyDescent="0.35">
      <c r="A22" s="343"/>
      <c r="B22" s="63">
        <f t="shared" si="10"/>
        <v>12</v>
      </c>
      <c r="C22" s="333"/>
      <c r="D22" s="64">
        <f t="shared" si="11"/>
        <v>13.5</v>
      </c>
      <c r="E22" s="64">
        <f t="shared" si="9"/>
        <v>13.5</v>
      </c>
      <c r="F22" s="34">
        <v>0</v>
      </c>
      <c r="G22" s="34">
        <v>0</v>
      </c>
      <c r="H22" s="34">
        <v>0</v>
      </c>
      <c r="I22" s="34">
        <v>0</v>
      </c>
      <c r="J22" s="34">
        <v>0</v>
      </c>
      <c r="K22" s="34">
        <v>0</v>
      </c>
      <c r="L22" s="34">
        <v>0</v>
      </c>
      <c r="M22" s="101">
        <v>0</v>
      </c>
      <c r="O22" s="88">
        <f>(1+'F2-F Service Payment and NPV'!$I$36)^(E22-1)</f>
        <v>2.9365082428631455</v>
      </c>
      <c r="P22" s="89">
        <f>(1+'F2-F Service Payment and NPV'!$I$34)^(E22-1)</f>
        <v>2.9365082428631455</v>
      </c>
      <c r="R22" s="63">
        <f t="shared" si="3"/>
        <v>12</v>
      </c>
      <c r="S22" s="92">
        <f t="shared" si="12"/>
        <v>0</v>
      </c>
      <c r="T22" s="92">
        <f t="shared" si="13"/>
        <v>0</v>
      </c>
      <c r="U22" s="92">
        <f t="shared" si="4"/>
        <v>0</v>
      </c>
      <c r="V22" s="92">
        <f t="shared" si="2"/>
        <v>0</v>
      </c>
      <c r="W22" s="93">
        <f t="shared" si="5"/>
        <v>0</v>
      </c>
      <c r="X22" s="93">
        <f t="shared" si="6"/>
        <v>0</v>
      </c>
      <c r="Y22" s="92">
        <f t="shared" si="7"/>
        <v>0</v>
      </c>
      <c r="Z22" s="90">
        <f t="shared" si="8"/>
        <v>0</v>
      </c>
      <c r="AA22" s="91"/>
      <c r="AB22" s="91"/>
    </row>
    <row r="23" spans="1:28" x14ac:dyDescent="0.35">
      <c r="A23" s="343"/>
      <c r="B23" s="63">
        <f t="shared" si="10"/>
        <v>13</v>
      </c>
      <c r="C23" s="333"/>
      <c r="D23" s="64">
        <f t="shared" si="11"/>
        <v>14.5</v>
      </c>
      <c r="E23" s="64">
        <f t="shared" si="9"/>
        <v>14.5</v>
      </c>
      <c r="F23" s="34">
        <v>0</v>
      </c>
      <c r="G23" s="34">
        <v>0</v>
      </c>
      <c r="H23" s="34">
        <v>0</v>
      </c>
      <c r="I23" s="34">
        <v>0</v>
      </c>
      <c r="J23" s="34">
        <v>0</v>
      </c>
      <c r="K23" s="34">
        <v>0</v>
      </c>
      <c r="L23" s="34">
        <v>0</v>
      </c>
      <c r="M23" s="101">
        <v>0</v>
      </c>
      <c r="O23" s="88">
        <f>(1+'F2-F Service Payment and NPV'!$I$36)^(E23-1)</f>
        <v>3.2007939847208284</v>
      </c>
      <c r="P23" s="89">
        <f>(1+'F2-F Service Payment and NPV'!$I$34)^(E23-1)</f>
        <v>3.2007939847208284</v>
      </c>
      <c r="R23" s="63">
        <f t="shared" si="3"/>
        <v>13</v>
      </c>
      <c r="S23" s="92">
        <f t="shared" si="12"/>
        <v>0</v>
      </c>
      <c r="T23" s="92">
        <f t="shared" si="13"/>
        <v>0</v>
      </c>
      <c r="U23" s="92">
        <f t="shared" si="4"/>
        <v>0</v>
      </c>
      <c r="V23" s="92">
        <f t="shared" si="2"/>
        <v>0</v>
      </c>
      <c r="W23" s="93">
        <f t="shared" si="5"/>
        <v>0</v>
      </c>
      <c r="X23" s="93">
        <f t="shared" si="6"/>
        <v>0</v>
      </c>
      <c r="Y23" s="92">
        <f t="shared" si="7"/>
        <v>0</v>
      </c>
      <c r="Z23" s="90">
        <f t="shared" si="8"/>
        <v>0</v>
      </c>
      <c r="AA23" s="91"/>
      <c r="AB23" s="91"/>
    </row>
    <row r="24" spans="1:28" x14ac:dyDescent="0.35">
      <c r="A24" s="343"/>
      <c r="B24" s="63">
        <f t="shared" si="10"/>
        <v>14</v>
      </c>
      <c r="C24" s="333"/>
      <c r="D24" s="64">
        <f t="shared" si="11"/>
        <v>15.5</v>
      </c>
      <c r="E24" s="64">
        <f t="shared" si="9"/>
        <v>15.5</v>
      </c>
      <c r="F24" s="34">
        <v>0</v>
      </c>
      <c r="G24" s="34">
        <v>0</v>
      </c>
      <c r="H24" s="34">
        <v>0</v>
      </c>
      <c r="I24" s="34">
        <v>0</v>
      </c>
      <c r="J24" s="34">
        <v>0</v>
      </c>
      <c r="K24" s="34">
        <v>0</v>
      </c>
      <c r="L24" s="34">
        <v>0</v>
      </c>
      <c r="M24" s="101">
        <v>0</v>
      </c>
      <c r="O24" s="88">
        <f>(1+'F2-F Service Payment and NPV'!$I$36)^(E24-1)</f>
        <v>3.4888654433457038</v>
      </c>
      <c r="P24" s="89">
        <f>(1+'F2-F Service Payment and NPV'!$I$34)^(E24-1)</f>
        <v>3.4888654433457038</v>
      </c>
      <c r="R24" s="63">
        <f t="shared" si="3"/>
        <v>14</v>
      </c>
      <c r="S24" s="92">
        <f t="shared" si="12"/>
        <v>0</v>
      </c>
      <c r="T24" s="92">
        <f t="shared" si="13"/>
        <v>0</v>
      </c>
      <c r="U24" s="92">
        <f t="shared" si="4"/>
        <v>0</v>
      </c>
      <c r="V24" s="92">
        <f t="shared" si="2"/>
        <v>0</v>
      </c>
      <c r="W24" s="93">
        <f t="shared" si="5"/>
        <v>0</v>
      </c>
      <c r="X24" s="93">
        <f t="shared" si="6"/>
        <v>0</v>
      </c>
      <c r="Y24" s="92">
        <f t="shared" si="7"/>
        <v>0</v>
      </c>
      <c r="Z24" s="90">
        <f t="shared" si="8"/>
        <v>0</v>
      </c>
      <c r="AA24" s="91"/>
      <c r="AB24" s="91"/>
    </row>
    <row r="25" spans="1:28" ht="15" thickBot="1" x14ac:dyDescent="0.4">
      <c r="A25" s="344"/>
      <c r="B25" s="94">
        <f t="shared" si="10"/>
        <v>15</v>
      </c>
      <c r="C25" s="334"/>
      <c r="D25" s="70">
        <f t="shared" si="11"/>
        <v>16.5</v>
      </c>
      <c r="E25" s="69">
        <f t="shared" si="9"/>
        <v>16.5</v>
      </c>
      <c r="F25" s="35">
        <v>0</v>
      </c>
      <c r="G25" s="35">
        <v>0</v>
      </c>
      <c r="H25" s="35">
        <v>0</v>
      </c>
      <c r="I25" s="35">
        <v>0</v>
      </c>
      <c r="J25" s="35">
        <v>0</v>
      </c>
      <c r="K25" s="35">
        <v>0</v>
      </c>
      <c r="L25" s="35">
        <v>0</v>
      </c>
      <c r="M25" s="102">
        <v>0</v>
      </c>
      <c r="O25" s="95">
        <f>(1+'F2-F Service Payment and NPV'!$I$36)^(E25-1)</f>
        <v>3.8028633332468171</v>
      </c>
      <c r="P25" s="96">
        <f>(1+'F2-F Service Payment and NPV'!$I$34)^(E25-1)</f>
        <v>3.8028633332468171</v>
      </c>
      <c r="R25" s="94">
        <f t="shared" si="3"/>
        <v>15</v>
      </c>
      <c r="S25" s="97">
        <f t="shared" si="12"/>
        <v>0</v>
      </c>
      <c r="T25" s="97">
        <f t="shared" si="13"/>
        <v>0</v>
      </c>
      <c r="U25" s="97">
        <f t="shared" si="4"/>
        <v>0</v>
      </c>
      <c r="V25" s="97">
        <f t="shared" si="2"/>
        <v>0</v>
      </c>
      <c r="W25" s="98">
        <f t="shared" si="5"/>
        <v>0</v>
      </c>
      <c r="X25" s="98">
        <f t="shared" si="6"/>
        <v>0</v>
      </c>
      <c r="Y25" s="97">
        <f t="shared" si="7"/>
        <v>0</v>
      </c>
      <c r="Z25" s="99">
        <f t="shared" si="8"/>
        <v>0</v>
      </c>
      <c r="AA25" s="91"/>
      <c r="AB25" s="91"/>
    </row>
    <row r="26" spans="1:28" x14ac:dyDescent="0.35">
      <c r="E26" s="36"/>
    </row>
    <row r="27" spans="1:28" ht="15" thickBot="1" x14ac:dyDescent="0.4">
      <c r="E27" s="36"/>
    </row>
    <row r="28" spans="1:28" ht="15" thickBot="1" x14ac:dyDescent="0.4">
      <c r="C28" s="74"/>
      <c r="D28" s="100" t="s">
        <v>9</v>
      </c>
      <c r="E28" s="36"/>
    </row>
    <row r="29" spans="1:28" ht="15" thickBot="1" x14ac:dyDescent="0.4">
      <c r="C29" s="75"/>
      <c r="D29" s="100" t="s">
        <v>121</v>
      </c>
      <c r="E29" s="36"/>
      <c r="G29" s="40"/>
      <c r="H29" s="40"/>
    </row>
    <row r="30" spans="1:28" ht="15" thickBot="1" x14ac:dyDescent="0.4">
      <c r="C30" s="76"/>
      <c r="D30" s="100" t="s">
        <v>10</v>
      </c>
      <c r="E30" s="36"/>
      <c r="H30" s="40"/>
    </row>
    <row r="31" spans="1:28" x14ac:dyDescent="0.35">
      <c r="E31" s="36"/>
      <c r="H31" s="40"/>
    </row>
    <row r="32" spans="1:28" x14ac:dyDescent="0.35">
      <c r="C32" s="335" t="s">
        <v>256</v>
      </c>
      <c r="D32" s="336"/>
      <c r="E32" s="336"/>
      <c r="F32" s="336"/>
      <c r="G32" s="336"/>
      <c r="H32" s="336"/>
      <c r="I32" s="336"/>
      <c r="J32" s="336"/>
      <c r="K32" s="336"/>
      <c r="L32" s="336"/>
      <c r="M32" s="336"/>
    </row>
    <row r="33" spans="3:13" x14ac:dyDescent="0.35">
      <c r="C33" s="336"/>
      <c r="D33" s="336"/>
      <c r="E33" s="336"/>
      <c r="F33" s="336"/>
      <c r="G33" s="336"/>
      <c r="H33" s="336"/>
      <c r="I33" s="336"/>
      <c r="J33" s="336"/>
      <c r="K33" s="336"/>
      <c r="L33" s="336"/>
      <c r="M33" s="336"/>
    </row>
    <row r="34" spans="3:13" x14ac:dyDescent="0.35">
      <c r="E34" s="36"/>
      <c r="G34" s="40"/>
      <c r="H34" s="40"/>
    </row>
    <row r="35" spans="3:13" x14ac:dyDescent="0.35">
      <c r="E35" s="36"/>
    </row>
    <row r="36" spans="3:13" x14ac:dyDescent="0.35">
      <c r="E36" s="36"/>
    </row>
    <row r="37" spans="3:13" x14ac:dyDescent="0.35">
      <c r="E37" s="36"/>
    </row>
    <row r="38" spans="3:13" x14ac:dyDescent="0.35">
      <c r="E38" s="36"/>
    </row>
    <row r="39" spans="3:13" x14ac:dyDescent="0.35">
      <c r="E39" s="36"/>
    </row>
    <row r="40" spans="3:13" x14ac:dyDescent="0.35">
      <c r="E40" s="36"/>
    </row>
    <row r="41" spans="3:13" x14ac:dyDescent="0.35">
      <c r="E41" s="36"/>
    </row>
    <row r="42" spans="3:13" x14ac:dyDescent="0.35">
      <c r="E42" s="36"/>
    </row>
    <row r="43" spans="3:13" x14ac:dyDescent="0.35">
      <c r="E43" s="36"/>
    </row>
    <row r="44" spans="3:13" x14ac:dyDescent="0.35">
      <c r="E44" s="36"/>
    </row>
    <row r="45" spans="3:13" x14ac:dyDescent="0.35">
      <c r="E45" s="36"/>
    </row>
  </sheetData>
  <sheetProtection algorithmName="SHA-512" hashValue="vf5mILhvANb/LvMMv19iwlsMku4+PvM4ktDT1QUU38q4FK3JwzrjybnsfV2BdHKH68F4Dlb14g+m5IW/2Q5lhg==" saltValue="ECHYXfPUIYhGCVk42iD8DQ==" spinCount="100000" sheet="1" objects="1" scenarios="1"/>
  <mergeCells count="8">
    <mergeCell ref="C32:M33"/>
    <mergeCell ref="F4:M4"/>
    <mergeCell ref="A9:A10"/>
    <mergeCell ref="A11:A25"/>
    <mergeCell ref="S4:Z4"/>
    <mergeCell ref="E5:E7"/>
    <mergeCell ref="B5:B7"/>
    <mergeCell ref="C9:C25"/>
  </mergeCells>
  <pageMargins left="0.7" right="0.7" top="0.75" bottom="0.75" header="0.3" footer="0.3"/>
  <pageSetup orientation="portrait" verticalDpi="300" r:id="rId1"/>
  <ignoredErrors>
    <ignoredError sqref="W9:W10 W12:W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5F16-E166-496A-A162-04EEBC7064A9}">
  <dimension ref="A3:R33"/>
  <sheetViews>
    <sheetView topLeftCell="A3" zoomScale="70" zoomScaleNormal="70" workbookViewId="0">
      <selection activeCell="D9" sqref="D9"/>
    </sheetView>
  </sheetViews>
  <sheetFormatPr defaultColWidth="8.7265625" defaultRowHeight="14.5" x14ac:dyDescent="0.35"/>
  <cols>
    <col min="1" max="1" width="10.1796875" style="36" customWidth="1"/>
    <col min="2" max="2" width="8.7265625" style="36"/>
    <col min="3" max="3" width="10.81640625" style="36" customWidth="1"/>
    <col min="4" max="4" width="8.7265625" style="36"/>
    <col min="5" max="5" width="15.81640625" style="36" customWidth="1"/>
    <col min="6" max="11" width="8.7265625" style="36"/>
    <col min="12" max="12" width="11.54296875" style="36" bestFit="1" customWidth="1"/>
    <col min="13" max="17" width="8.7265625" style="36"/>
    <col min="18" max="18" width="13.26953125" style="36" customWidth="1"/>
    <col min="19" max="16384" width="8.7265625" style="36"/>
  </cols>
  <sheetData>
    <row r="3" spans="1:18" ht="15" thickBot="1" x14ac:dyDescent="0.4"/>
    <row r="4" spans="1:18" ht="35.5" customHeight="1" x14ac:dyDescent="0.35">
      <c r="B4" s="43"/>
      <c r="C4" s="78"/>
      <c r="D4" s="78"/>
      <c r="E4" s="356" t="s">
        <v>73</v>
      </c>
      <c r="F4" s="337" t="s">
        <v>54</v>
      </c>
      <c r="G4" s="338"/>
      <c r="H4" s="338"/>
      <c r="I4" s="338"/>
      <c r="J4" s="338"/>
      <c r="K4" s="338"/>
      <c r="L4" s="338"/>
      <c r="M4" s="338"/>
      <c r="N4" s="338"/>
      <c r="O4" s="338"/>
      <c r="P4" s="338"/>
      <c r="Q4" s="338"/>
      <c r="R4" s="339"/>
    </row>
    <row r="5" spans="1:18" x14ac:dyDescent="0.35">
      <c r="B5" s="47"/>
      <c r="C5" s="48"/>
      <c r="D5" s="48"/>
      <c r="E5" s="357"/>
      <c r="F5" s="50" t="s">
        <v>40</v>
      </c>
      <c r="G5" s="50" t="s">
        <v>41</v>
      </c>
      <c r="H5" s="50" t="s">
        <v>42</v>
      </c>
      <c r="I5" s="50" t="s">
        <v>43</v>
      </c>
      <c r="J5" s="50" t="s">
        <v>44</v>
      </c>
      <c r="K5" s="50" t="s">
        <v>45</v>
      </c>
      <c r="L5" s="50" t="s">
        <v>46</v>
      </c>
      <c r="M5" s="50" t="s">
        <v>47</v>
      </c>
      <c r="N5" s="50" t="s">
        <v>48</v>
      </c>
      <c r="O5" s="50" t="s">
        <v>49</v>
      </c>
      <c r="P5" s="50" t="s">
        <v>50</v>
      </c>
      <c r="Q5" s="50" t="s">
        <v>51</v>
      </c>
      <c r="R5" s="55" t="s">
        <v>28</v>
      </c>
    </row>
    <row r="6" spans="1:18" x14ac:dyDescent="0.35">
      <c r="B6" s="53"/>
      <c r="C6" s="54"/>
      <c r="D6" s="54"/>
      <c r="E6" s="57" t="s">
        <v>72</v>
      </c>
      <c r="F6" s="50" t="s">
        <v>52</v>
      </c>
      <c r="G6" s="50" t="s">
        <v>52</v>
      </c>
      <c r="H6" s="50" t="s">
        <v>52</v>
      </c>
      <c r="I6" s="50" t="s">
        <v>52</v>
      </c>
      <c r="J6" s="50" t="s">
        <v>52</v>
      </c>
      <c r="K6" s="50" t="s">
        <v>52</v>
      </c>
      <c r="L6" s="50" t="s">
        <v>52</v>
      </c>
      <c r="M6" s="50" t="s">
        <v>52</v>
      </c>
      <c r="N6" s="50" t="s">
        <v>52</v>
      </c>
      <c r="O6" s="50" t="s">
        <v>52</v>
      </c>
      <c r="P6" s="50" t="s">
        <v>52</v>
      </c>
      <c r="Q6" s="50" t="s">
        <v>52</v>
      </c>
      <c r="R6" s="55" t="s">
        <v>52</v>
      </c>
    </row>
    <row r="7" spans="1:18" ht="28.5" customHeight="1" x14ac:dyDescent="0.35">
      <c r="B7" s="56" t="s">
        <v>0</v>
      </c>
      <c r="C7" s="103"/>
      <c r="D7" s="103" t="s">
        <v>0</v>
      </c>
      <c r="E7" s="103" t="s">
        <v>124</v>
      </c>
      <c r="F7" s="353" t="s">
        <v>53</v>
      </c>
      <c r="G7" s="354"/>
      <c r="H7" s="354"/>
      <c r="I7" s="354"/>
      <c r="J7" s="354"/>
      <c r="K7" s="354"/>
      <c r="L7" s="354"/>
      <c r="M7" s="354"/>
      <c r="N7" s="354"/>
      <c r="O7" s="354"/>
      <c r="P7" s="354"/>
      <c r="Q7" s="354"/>
      <c r="R7" s="355"/>
    </row>
    <row r="8" spans="1:18" ht="15" thickBot="1" x14ac:dyDescent="0.4">
      <c r="B8" s="59"/>
      <c r="C8" s="60"/>
      <c r="D8" s="60"/>
      <c r="E8" s="60"/>
      <c r="F8" s="61"/>
      <c r="G8" s="61"/>
      <c r="H8" s="61"/>
      <c r="I8" s="61"/>
      <c r="J8" s="61"/>
      <c r="K8" s="61"/>
      <c r="L8" s="61"/>
      <c r="M8" s="61"/>
      <c r="N8" s="61"/>
      <c r="O8" s="61"/>
      <c r="P8" s="61"/>
      <c r="Q8" s="61"/>
      <c r="R8" s="62"/>
    </row>
    <row r="9" spans="1:18" x14ac:dyDescent="0.35">
      <c r="A9" s="351" t="s">
        <v>29</v>
      </c>
      <c r="B9" s="63">
        <v>1</v>
      </c>
      <c r="C9" s="332" t="s">
        <v>208</v>
      </c>
      <c r="D9" s="64">
        <v>1</v>
      </c>
      <c r="E9" s="104">
        <v>0.35</v>
      </c>
      <c r="F9" s="105"/>
      <c r="G9" s="105"/>
      <c r="H9" s="105"/>
      <c r="I9" s="105"/>
      <c r="J9" s="105"/>
      <c r="K9" s="105"/>
      <c r="L9" s="105"/>
      <c r="M9" s="105"/>
      <c r="N9" s="105"/>
      <c r="O9" s="105"/>
      <c r="P9" s="105"/>
      <c r="Q9" s="105"/>
      <c r="R9" s="105"/>
    </row>
    <row r="10" spans="1:18" ht="15" thickBot="1" x14ac:dyDescent="0.4">
      <c r="A10" s="352"/>
      <c r="B10" s="63">
        <v>1.5</v>
      </c>
      <c r="C10" s="333"/>
      <c r="D10" s="64">
        <v>1.5</v>
      </c>
      <c r="E10" s="104">
        <v>0.35</v>
      </c>
      <c r="F10" s="105"/>
      <c r="G10" s="105"/>
      <c r="H10" s="105"/>
      <c r="I10" s="105"/>
      <c r="J10" s="105"/>
      <c r="K10" s="105"/>
      <c r="L10" s="105"/>
      <c r="M10" s="105"/>
      <c r="N10" s="105"/>
      <c r="O10" s="105"/>
      <c r="P10" s="105"/>
      <c r="Q10" s="105"/>
      <c r="R10" s="105"/>
    </row>
    <row r="11" spans="1:18" x14ac:dyDescent="0.35">
      <c r="A11" s="329" t="s">
        <v>30</v>
      </c>
      <c r="B11" s="63">
        <v>1</v>
      </c>
      <c r="C11" s="333"/>
      <c r="D11" s="64">
        <f>D10+1</f>
        <v>2.5</v>
      </c>
      <c r="E11" s="106">
        <v>0</v>
      </c>
      <c r="F11" s="34">
        <v>0</v>
      </c>
      <c r="G11" s="34">
        <v>0</v>
      </c>
      <c r="H11" s="34">
        <v>0</v>
      </c>
      <c r="I11" s="34">
        <v>0</v>
      </c>
      <c r="J11" s="34">
        <v>0</v>
      </c>
      <c r="K11" s="34">
        <v>0</v>
      </c>
      <c r="L11" s="34">
        <v>0</v>
      </c>
      <c r="M11" s="34">
        <v>0</v>
      </c>
      <c r="N11" s="34">
        <v>0</v>
      </c>
      <c r="O11" s="34">
        <v>0</v>
      </c>
      <c r="P11" s="34">
        <v>0</v>
      </c>
      <c r="Q11" s="34">
        <v>0</v>
      </c>
      <c r="R11" s="90">
        <f t="shared" ref="R11:R25" si="0">SUM(F11:Q11)</f>
        <v>0</v>
      </c>
    </row>
    <row r="12" spans="1:18" x14ac:dyDescent="0.35">
      <c r="A12" s="330"/>
      <c r="B12" s="63">
        <f t="shared" ref="B12:B25" si="1">B11+1</f>
        <v>2</v>
      </c>
      <c r="C12" s="333"/>
      <c r="D12" s="64">
        <f t="shared" ref="D12:D25" si="2">D11+1</f>
        <v>3.5</v>
      </c>
      <c r="E12" s="106">
        <v>0</v>
      </c>
      <c r="F12" s="34">
        <v>0</v>
      </c>
      <c r="G12" s="34">
        <v>0</v>
      </c>
      <c r="H12" s="34">
        <v>0</v>
      </c>
      <c r="I12" s="34">
        <v>0</v>
      </c>
      <c r="J12" s="34">
        <v>0</v>
      </c>
      <c r="K12" s="34">
        <v>0</v>
      </c>
      <c r="L12" s="34">
        <v>0</v>
      </c>
      <c r="M12" s="34">
        <v>0</v>
      </c>
      <c r="N12" s="34">
        <v>0</v>
      </c>
      <c r="O12" s="34">
        <v>0</v>
      </c>
      <c r="P12" s="34">
        <v>0</v>
      </c>
      <c r="Q12" s="34">
        <v>0</v>
      </c>
      <c r="R12" s="90">
        <f t="shared" si="0"/>
        <v>0</v>
      </c>
    </row>
    <row r="13" spans="1:18" x14ac:dyDescent="0.35">
      <c r="A13" s="330"/>
      <c r="B13" s="63">
        <f t="shared" si="1"/>
        <v>3</v>
      </c>
      <c r="C13" s="333"/>
      <c r="D13" s="64">
        <f t="shared" si="2"/>
        <v>4.5</v>
      </c>
      <c r="E13" s="106">
        <v>0</v>
      </c>
      <c r="F13" s="34">
        <v>0</v>
      </c>
      <c r="G13" s="34">
        <v>0</v>
      </c>
      <c r="H13" s="34">
        <v>0</v>
      </c>
      <c r="I13" s="34">
        <v>0</v>
      </c>
      <c r="J13" s="34">
        <v>0</v>
      </c>
      <c r="K13" s="34">
        <v>0</v>
      </c>
      <c r="L13" s="34">
        <v>0</v>
      </c>
      <c r="M13" s="34">
        <v>0</v>
      </c>
      <c r="N13" s="34">
        <v>0</v>
      </c>
      <c r="O13" s="34">
        <v>0</v>
      </c>
      <c r="P13" s="34">
        <v>0</v>
      </c>
      <c r="Q13" s="34">
        <v>0</v>
      </c>
      <c r="R13" s="90">
        <f>SUM(F13:Q13)</f>
        <v>0</v>
      </c>
    </row>
    <row r="14" spans="1:18" x14ac:dyDescent="0.35">
      <c r="A14" s="330"/>
      <c r="B14" s="63">
        <f t="shared" si="1"/>
        <v>4</v>
      </c>
      <c r="C14" s="333"/>
      <c r="D14" s="64">
        <f t="shared" si="2"/>
        <v>5.5</v>
      </c>
      <c r="E14" s="106">
        <v>0</v>
      </c>
      <c r="F14" s="34">
        <v>0</v>
      </c>
      <c r="G14" s="34">
        <v>0</v>
      </c>
      <c r="H14" s="34">
        <v>0</v>
      </c>
      <c r="I14" s="34">
        <v>0</v>
      </c>
      <c r="J14" s="34">
        <v>0</v>
      </c>
      <c r="K14" s="34">
        <v>0</v>
      </c>
      <c r="L14" s="34">
        <v>0</v>
      </c>
      <c r="M14" s="34">
        <v>0</v>
      </c>
      <c r="N14" s="34">
        <v>0</v>
      </c>
      <c r="O14" s="34">
        <v>0</v>
      </c>
      <c r="P14" s="34">
        <v>0</v>
      </c>
      <c r="Q14" s="34">
        <v>0</v>
      </c>
      <c r="R14" s="90">
        <f t="shared" si="0"/>
        <v>0</v>
      </c>
    </row>
    <row r="15" spans="1:18" x14ac:dyDescent="0.35">
      <c r="A15" s="330"/>
      <c r="B15" s="63">
        <f t="shared" si="1"/>
        <v>5</v>
      </c>
      <c r="C15" s="333"/>
      <c r="D15" s="64">
        <f t="shared" si="2"/>
        <v>6.5</v>
      </c>
      <c r="E15" s="106">
        <v>0</v>
      </c>
      <c r="F15" s="34">
        <v>0</v>
      </c>
      <c r="G15" s="34">
        <v>0</v>
      </c>
      <c r="H15" s="34">
        <v>0</v>
      </c>
      <c r="I15" s="34">
        <v>0</v>
      </c>
      <c r="J15" s="34">
        <v>0</v>
      </c>
      <c r="K15" s="34">
        <v>0</v>
      </c>
      <c r="L15" s="34">
        <v>0</v>
      </c>
      <c r="M15" s="34">
        <v>0</v>
      </c>
      <c r="N15" s="34">
        <v>0</v>
      </c>
      <c r="O15" s="34">
        <v>0</v>
      </c>
      <c r="P15" s="34">
        <v>0</v>
      </c>
      <c r="Q15" s="34">
        <v>0</v>
      </c>
      <c r="R15" s="90">
        <f t="shared" si="0"/>
        <v>0</v>
      </c>
    </row>
    <row r="16" spans="1:18" x14ac:dyDescent="0.35">
      <c r="A16" s="330"/>
      <c r="B16" s="63">
        <f t="shared" si="1"/>
        <v>6</v>
      </c>
      <c r="C16" s="333"/>
      <c r="D16" s="64">
        <f t="shared" si="2"/>
        <v>7.5</v>
      </c>
      <c r="E16" s="106">
        <v>0</v>
      </c>
      <c r="F16" s="34">
        <v>0</v>
      </c>
      <c r="G16" s="34">
        <v>0</v>
      </c>
      <c r="H16" s="34">
        <v>0</v>
      </c>
      <c r="I16" s="34">
        <v>0</v>
      </c>
      <c r="J16" s="34">
        <v>0</v>
      </c>
      <c r="K16" s="34">
        <v>0</v>
      </c>
      <c r="L16" s="34">
        <v>0</v>
      </c>
      <c r="M16" s="34">
        <v>0</v>
      </c>
      <c r="N16" s="34">
        <v>0</v>
      </c>
      <c r="O16" s="34">
        <v>0</v>
      </c>
      <c r="P16" s="34">
        <v>0</v>
      </c>
      <c r="Q16" s="34">
        <v>0</v>
      </c>
      <c r="R16" s="90">
        <f t="shared" si="0"/>
        <v>0</v>
      </c>
    </row>
    <row r="17" spans="1:18" x14ac:dyDescent="0.35">
      <c r="A17" s="330"/>
      <c r="B17" s="63">
        <f t="shared" si="1"/>
        <v>7</v>
      </c>
      <c r="C17" s="333"/>
      <c r="D17" s="64">
        <f t="shared" si="2"/>
        <v>8.5</v>
      </c>
      <c r="E17" s="106">
        <v>0</v>
      </c>
      <c r="F17" s="34">
        <v>0</v>
      </c>
      <c r="G17" s="34">
        <v>0</v>
      </c>
      <c r="H17" s="34">
        <v>0</v>
      </c>
      <c r="I17" s="34">
        <v>0</v>
      </c>
      <c r="J17" s="34">
        <v>0</v>
      </c>
      <c r="K17" s="34">
        <v>0</v>
      </c>
      <c r="L17" s="34">
        <v>0</v>
      </c>
      <c r="M17" s="34">
        <v>0</v>
      </c>
      <c r="N17" s="34">
        <v>0</v>
      </c>
      <c r="O17" s="34">
        <v>0</v>
      </c>
      <c r="P17" s="34">
        <v>0</v>
      </c>
      <c r="Q17" s="34">
        <v>0</v>
      </c>
      <c r="R17" s="90">
        <f t="shared" si="0"/>
        <v>0</v>
      </c>
    </row>
    <row r="18" spans="1:18" x14ac:dyDescent="0.35">
      <c r="A18" s="330"/>
      <c r="B18" s="63">
        <f t="shared" si="1"/>
        <v>8</v>
      </c>
      <c r="C18" s="333"/>
      <c r="D18" s="64">
        <f t="shared" si="2"/>
        <v>9.5</v>
      </c>
      <c r="E18" s="106">
        <v>0</v>
      </c>
      <c r="F18" s="34">
        <v>0</v>
      </c>
      <c r="G18" s="34">
        <v>0</v>
      </c>
      <c r="H18" s="34">
        <v>0</v>
      </c>
      <c r="I18" s="34">
        <v>0</v>
      </c>
      <c r="J18" s="34">
        <v>0</v>
      </c>
      <c r="K18" s="34">
        <v>0</v>
      </c>
      <c r="L18" s="34"/>
      <c r="M18" s="34">
        <v>0</v>
      </c>
      <c r="N18" s="34">
        <v>0</v>
      </c>
      <c r="O18" s="34">
        <v>0</v>
      </c>
      <c r="P18" s="34">
        <v>0</v>
      </c>
      <c r="Q18" s="34">
        <v>0</v>
      </c>
      <c r="R18" s="90">
        <f t="shared" si="0"/>
        <v>0</v>
      </c>
    </row>
    <row r="19" spans="1:18" x14ac:dyDescent="0.35">
      <c r="A19" s="330"/>
      <c r="B19" s="63">
        <f t="shared" si="1"/>
        <v>9</v>
      </c>
      <c r="C19" s="333"/>
      <c r="D19" s="64">
        <f t="shared" si="2"/>
        <v>10.5</v>
      </c>
      <c r="E19" s="106">
        <v>0</v>
      </c>
      <c r="F19" s="34">
        <v>0</v>
      </c>
      <c r="G19" s="34">
        <v>0</v>
      </c>
      <c r="H19" s="34">
        <v>0</v>
      </c>
      <c r="I19" s="34">
        <v>0</v>
      </c>
      <c r="J19" s="34">
        <v>0</v>
      </c>
      <c r="K19" s="34">
        <v>0</v>
      </c>
      <c r="L19" s="34">
        <v>0</v>
      </c>
      <c r="M19" s="34">
        <v>0</v>
      </c>
      <c r="N19" s="34">
        <v>0</v>
      </c>
      <c r="O19" s="34">
        <v>0</v>
      </c>
      <c r="P19" s="34">
        <v>0</v>
      </c>
      <c r="Q19" s="34">
        <v>0</v>
      </c>
      <c r="R19" s="90">
        <f t="shared" si="0"/>
        <v>0</v>
      </c>
    </row>
    <row r="20" spans="1:18" x14ac:dyDescent="0.35">
      <c r="A20" s="330"/>
      <c r="B20" s="63">
        <f t="shared" si="1"/>
        <v>10</v>
      </c>
      <c r="C20" s="333"/>
      <c r="D20" s="64">
        <f t="shared" si="2"/>
        <v>11.5</v>
      </c>
      <c r="E20" s="106">
        <v>0</v>
      </c>
      <c r="F20" s="34">
        <v>0</v>
      </c>
      <c r="G20" s="34">
        <v>0</v>
      </c>
      <c r="H20" s="34">
        <v>0</v>
      </c>
      <c r="I20" s="34">
        <v>0</v>
      </c>
      <c r="J20" s="34">
        <v>0</v>
      </c>
      <c r="K20" s="34">
        <v>0</v>
      </c>
      <c r="L20" s="34">
        <v>0</v>
      </c>
      <c r="M20" s="34">
        <v>0</v>
      </c>
      <c r="N20" s="34">
        <v>0</v>
      </c>
      <c r="O20" s="34">
        <v>0</v>
      </c>
      <c r="P20" s="34">
        <v>0</v>
      </c>
      <c r="Q20" s="34">
        <v>0</v>
      </c>
      <c r="R20" s="90">
        <f t="shared" si="0"/>
        <v>0</v>
      </c>
    </row>
    <row r="21" spans="1:18" x14ac:dyDescent="0.35">
      <c r="A21" s="330"/>
      <c r="B21" s="63">
        <f t="shared" si="1"/>
        <v>11</v>
      </c>
      <c r="C21" s="333"/>
      <c r="D21" s="64">
        <f t="shared" si="2"/>
        <v>12.5</v>
      </c>
      <c r="E21" s="106">
        <v>0</v>
      </c>
      <c r="F21" s="34">
        <v>0</v>
      </c>
      <c r="G21" s="34">
        <v>0</v>
      </c>
      <c r="H21" s="34">
        <v>0</v>
      </c>
      <c r="I21" s="34">
        <v>0</v>
      </c>
      <c r="J21" s="34">
        <v>0</v>
      </c>
      <c r="K21" s="34">
        <v>0</v>
      </c>
      <c r="L21" s="34">
        <v>0</v>
      </c>
      <c r="M21" s="34">
        <v>0</v>
      </c>
      <c r="N21" s="34">
        <v>0</v>
      </c>
      <c r="O21" s="34">
        <v>0</v>
      </c>
      <c r="P21" s="34">
        <v>0</v>
      </c>
      <c r="Q21" s="34">
        <v>0</v>
      </c>
      <c r="R21" s="90">
        <f t="shared" si="0"/>
        <v>0</v>
      </c>
    </row>
    <row r="22" spans="1:18" x14ac:dyDescent="0.35">
      <c r="A22" s="330"/>
      <c r="B22" s="63">
        <f t="shared" si="1"/>
        <v>12</v>
      </c>
      <c r="C22" s="333"/>
      <c r="D22" s="64">
        <f t="shared" si="2"/>
        <v>13.5</v>
      </c>
      <c r="E22" s="106">
        <v>0</v>
      </c>
      <c r="F22" s="34">
        <v>0</v>
      </c>
      <c r="G22" s="34">
        <v>0</v>
      </c>
      <c r="H22" s="34">
        <v>0</v>
      </c>
      <c r="I22" s="34">
        <v>0</v>
      </c>
      <c r="J22" s="34">
        <v>0</v>
      </c>
      <c r="K22" s="34">
        <v>0</v>
      </c>
      <c r="L22" s="34">
        <v>0</v>
      </c>
      <c r="M22" s="34">
        <v>0</v>
      </c>
      <c r="N22" s="34">
        <v>0</v>
      </c>
      <c r="O22" s="34">
        <v>0</v>
      </c>
      <c r="P22" s="34">
        <v>0</v>
      </c>
      <c r="Q22" s="34">
        <v>0</v>
      </c>
      <c r="R22" s="90">
        <f t="shared" si="0"/>
        <v>0</v>
      </c>
    </row>
    <row r="23" spans="1:18" x14ac:dyDescent="0.35">
      <c r="A23" s="330"/>
      <c r="B23" s="63">
        <f t="shared" si="1"/>
        <v>13</v>
      </c>
      <c r="C23" s="333"/>
      <c r="D23" s="64">
        <f t="shared" si="2"/>
        <v>14.5</v>
      </c>
      <c r="E23" s="106">
        <v>0</v>
      </c>
      <c r="F23" s="34">
        <v>0</v>
      </c>
      <c r="G23" s="34">
        <v>0</v>
      </c>
      <c r="H23" s="34">
        <v>0</v>
      </c>
      <c r="I23" s="34">
        <v>0</v>
      </c>
      <c r="J23" s="34">
        <v>0</v>
      </c>
      <c r="K23" s="34">
        <v>0</v>
      </c>
      <c r="L23" s="34">
        <v>0</v>
      </c>
      <c r="M23" s="34">
        <v>0</v>
      </c>
      <c r="N23" s="34">
        <v>0</v>
      </c>
      <c r="O23" s="34">
        <v>0</v>
      </c>
      <c r="P23" s="34">
        <v>0</v>
      </c>
      <c r="Q23" s="34">
        <v>0</v>
      </c>
      <c r="R23" s="90">
        <f t="shared" si="0"/>
        <v>0</v>
      </c>
    </row>
    <row r="24" spans="1:18" x14ac:dyDescent="0.35">
      <c r="A24" s="330"/>
      <c r="B24" s="63">
        <f t="shared" si="1"/>
        <v>14</v>
      </c>
      <c r="C24" s="333"/>
      <c r="D24" s="64">
        <f t="shared" si="2"/>
        <v>15.5</v>
      </c>
      <c r="E24" s="106">
        <v>0</v>
      </c>
      <c r="F24" s="34">
        <v>0</v>
      </c>
      <c r="G24" s="34">
        <v>0</v>
      </c>
      <c r="H24" s="34">
        <v>0</v>
      </c>
      <c r="I24" s="34">
        <v>0</v>
      </c>
      <c r="J24" s="34">
        <v>0</v>
      </c>
      <c r="K24" s="34">
        <v>0</v>
      </c>
      <c r="L24" s="34">
        <v>0</v>
      </c>
      <c r="M24" s="34">
        <v>0</v>
      </c>
      <c r="N24" s="34">
        <v>0</v>
      </c>
      <c r="O24" s="34">
        <v>0</v>
      </c>
      <c r="P24" s="34">
        <v>0</v>
      </c>
      <c r="Q24" s="34">
        <v>0</v>
      </c>
      <c r="R24" s="90">
        <f t="shared" si="0"/>
        <v>0</v>
      </c>
    </row>
    <row r="25" spans="1:18" ht="15" thickBot="1" x14ac:dyDescent="0.4">
      <c r="A25" s="331"/>
      <c r="B25" s="94">
        <f t="shared" si="1"/>
        <v>15</v>
      </c>
      <c r="C25" s="334"/>
      <c r="D25" s="70">
        <f t="shared" si="2"/>
        <v>16.5</v>
      </c>
      <c r="E25" s="107">
        <v>0</v>
      </c>
      <c r="F25" s="35">
        <v>0</v>
      </c>
      <c r="G25" s="35">
        <v>0</v>
      </c>
      <c r="H25" s="35">
        <v>0</v>
      </c>
      <c r="I25" s="35">
        <v>0</v>
      </c>
      <c r="J25" s="35">
        <v>0</v>
      </c>
      <c r="K25" s="35">
        <v>0</v>
      </c>
      <c r="L25" s="35">
        <v>0</v>
      </c>
      <c r="M25" s="35">
        <v>0</v>
      </c>
      <c r="N25" s="35">
        <v>0</v>
      </c>
      <c r="O25" s="35">
        <v>0</v>
      </c>
      <c r="P25" s="35">
        <v>0</v>
      </c>
      <c r="Q25" s="35">
        <v>0</v>
      </c>
      <c r="R25" s="99">
        <f t="shared" si="0"/>
        <v>0</v>
      </c>
    </row>
    <row r="27" spans="1:18" x14ac:dyDescent="0.35">
      <c r="C27" s="40" t="s">
        <v>275</v>
      </c>
    </row>
    <row r="28" spans="1:18" ht="15" thickBot="1" x14ac:dyDescent="0.4"/>
    <row r="29" spans="1:18" ht="15" thickBot="1" x14ac:dyDescent="0.4">
      <c r="C29" s="74"/>
      <c r="D29" s="40" t="s">
        <v>9</v>
      </c>
    </row>
    <row r="30" spans="1:18" ht="15" thickBot="1" x14ac:dyDescent="0.4">
      <c r="C30" s="75"/>
      <c r="D30" s="40" t="s">
        <v>121</v>
      </c>
      <c r="G30" s="40"/>
    </row>
    <row r="31" spans="1:18" ht="15" thickBot="1" x14ac:dyDescent="0.4">
      <c r="C31" s="76"/>
      <c r="D31" s="40" t="s">
        <v>10</v>
      </c>
      <c r="G31" s="40"/>
      <c r="H31" s="40"/>
    </row>
    <row r="32" spans="1:18" x14ac:dyDescent="0.35">
      <c r="G32" s="40"/>
      <c r="H32" s="40"/>
    </row>
    <row r="33" spans="8:8" x14ac:dyDescent="0.35">
      <c r="H33" s="40"/>
    </row>
  </sheetData>
  <sheetProtection algorithmName="SHA-512" hashValue="EPFOPU/C5EvBzQvgwNqBc6QzRDQTf3z+r6GGZDHBSsBUrOamLWonpNmfPxDniF4TE66idaDAdfKjE2cFojCq2w==" saltValue="s3EA3pf6VwIYIK1YWgbWiw==" spinCount="100000" sheet="1" objects="1" scenarios="1"/>
  <mergeCells count="6">
    <mergeCell ref="A9:A10"/>
    <mergeCell ref="A11:A25"/>
    <mergeCell ref="F4:R4"/>
    <mergeCell ref="F7:R7"/>
    <mergeCell ref="E4:E5"/>
    <mergeCell ref="C9:C25"/>
  </mergeCells>
  <pageMargins left="0.7" right="0.7" top="0.75" bottom="0.75" header="0.3" footer="0.3"/>
  <pageSetup orientation="portrait" verticalDpi="300" r:id="rId1"/>
  <ignoredErrors>
    <ignoredError sqref="R11:R12 R14:R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65989-8A2C-41B5-A412-6D1EBEAC0284}">
  <dimension ref="A1:AG44"/>
  <sheetViews>
    <sheetView topLeftCell="A3" zoomScale="70" zoomScaleNormal="70" workbookViewId="0">
      <selection activeCell="H11" sqref="H11"/>
    </sheetView>
  </sheetViews>
  <sheetFormatPr defaultRowHeight="14.5" x14ac:dyDescent="0.35"/>
  <cols>
    <col min="1" max="1" width="9.1796875" style="9"/>
    <col min="2" max="2" width="7" customWidth="1"/>
    <col min="3" max="3" width="11.81640625" customWidth="1"/>
    <col min="4" max="4" width="7" customWidth="1"/>
    <col min="5" max="5" width="20.81640625" customWidth="1"/>
    <col min="6" max="7" width="13.1796875" customWidth="1"/>
    <col min="8" max="8" width="13.7265625" customWidth="1"/>
    <col min="9" max="9" width="13.81640625" customWidth="1"/>
    <col min="10" max="10" width="14.453125" customWidth="1"/>
    <col min="11" max="11" width="15.453125" customWidth="1"/>
    <col min="12" max="12" width="20.1796875" customWidth="1"/>
    <col min="13" max="13" width="12.453125" customWidth="1"/>
    <col min="14" max="14" width="15.26953125" customWidth="1"/>
    <col min="15" max="16" width="13.7265625" customWidth="1"/>
    <col min="17" max="17" width="16.81640625" customWidth="1"/>
    <col min="18" max="18" width="17.81640625" customWidth="1"/>
    <col min="19" max="33" width="9.1796875" style="9"/>
  </cols>
  <sheetData>
    <row r="1" spans="1:21" s="9" customFormat="1" x14ac:dyDescent="0.35"/>
    <row r="2" spans="1:21" s="9" customFormat="1" ht="17.5" x14ac:dyDescent="0.35">
      <c r="B2" s="358" t="s">
        <v>20</v>
      </c>
      <c r="C2" s="358"/>
      <c r="D2" s="358"/>
      <c r="E2" s="358"/>
      <c r="F2" s="358"/>
      <c r="G2" s="358"/>
      <c r="H2" s="358"/>
      <c r="I2" s="358"/>
      <c r="J2" s="358"/>
      <c r="K2" s="358"/>
      <c r="L2" s="358"/>
      <c r="M2" s="358"/>
      <c r="N2" s="358"/>
      <c r="O2" s="358"/>
      <c r="P2" s="358"/>
      <c r="Q2" s="358"/>
    </row>
    <row r="3" spans="1:21" s="9" customFormat="1" ht="15" thickBot="1" x14ac:dyDescent="0.4"/>
    <row r="4" spans="1:21" ht="46" x14ac:dyDescent="0.35">
      <c r="B4" s="4"/>
      <c r="C4" s="27"/>
      <c r="D4" s="27"/>
      <c r="E4" s="33" t="str">
        <f>'F2-A Projected Available NWO'!L4</f>
        <v>Projected Available Net Water Output</v>
      </c>
      <c r="F4" s="30" t="s">
        <v>91</v>
      </c>
      <c r="G4" s="30" t="s">
        <v>92</v>
      </c>
      <c r="H4" s="30" t="s">
        <v>93</v>
      </c>
      <c r="I4" s="30" t="s">
        <v>94</v>
      </c>
      <c r="J4" s="5" t="s">
        <v>95</v>
      </c>
      <c r="K4" s="5" t="s">
        <v>96</v>
      </c>
      <c r="L4" s="30" t="s">
        <v>97</v>
      </c>
      <c r="M4" s="30" t="s">
        <v>216</v>
      </c>
      <c r="N4" s="30" t="s">
        <v>98</v>
      </c>
      <c r="O4" s="30" t="s">
        <v>99</v>
      </c>
      <c r="P4" s="31" t="s">
        <v>89</v>
      </c>
      <c r="Q4" s="31" t="s">
        <v>107</v>
      </c>
      <c r="R4" s="32" t="s">
        <v>259</v>
      </c>
    </row>
    <row r="5" spans="1:21" x14ac:dyDescent="0.35">
      <c r="B5" s="14"/>
      <c r="C5" s="17"/>
      <c r="D5" s="17"/>
      <c r="E5" s="17"/>
      <c r="F5" s="15"/>
      <c r="G5" s="15"/>
      <c r="H5" s="15"/>
      <c r="I5" s="15"/>
      <c r="J5" s="15"/>
      <c r="K5" s="15"/>
      <c r="L5" s="15"/>
      <c r="M5" s="15"/>
      <c r="N5" s="15"/>
      <c r="O5" s="15"/>
      <c r="P5" s="16"/>
      <c r="Q5" s="16"/>
      <c r="R5" s="23"/>
    </row>
    <row r="6" spans="1:21" x14ac:dyDescent="0.35">
      <c r="B6" s="6"/>
      <c r="C6" s="29"/>
      <c r="D6" s="29"/>
      <c r="E6" s="18" t="str">
        <f>'F2-A Projected Available NWO'!L6</f>
        <v>m3</v>
      </c>
      <c r="F6" s="1" t="s">
        <v>90</v>
      </c>
      <c r="G6" s="1" t="s">
        <v>90</v>
      </c>
      <c r="H6" s="2" t="s">
        <v>90</v>
      </c>
      <c r="I6" s="2" t="s">
        <v>90</v>
      </c>
      <c r="J6" s="2" t="s">
        <v>90</v>
      </c>
      <c r="K6" s="2" t="s">
        <v>90</v>
      </c>
      <c r="L6" s="2" t="s">
        <v>90</v>
      </c>
      <c r="M6" s="2" t="s">
        <v>90</v>
      </c>
      <c r="N6" s="2" t="s">
        <v>90</v>
      </c>
      <c r="O6" s="2" t="s">
        <v>90</v>
      </c>
      <c r="P6" s="16" t="s">
        <v>90</v>
      </c>
      <c r="Q6" s="21" t="s">
        <v>90</v>
      </c>
      <c r="R6" s="24" t="s">
        <v>90</v>
      </c>
    </row>
    <row r="7" spans="1:21" x14ac:dyDescent="0.35">
      <c r="B7" s="7" t="s">
        <v>0</v>
      </c>
      <c r="C7" s="18"/>
      <c r="D7" s="18" t="s">
        <v>0</v>
      </c>
      <c r="E7" s="18" t="str">
        <f>'F2-A Projected Available NWO'!L7</f>
        <v xml:space="preserve">ANWOpn </v>
      </c>
      <c r="F7" s="1" t="s">
        <v>3</v>
      </c>
      <c r="G7" s="1" t="s">
        <v>4</v>
      </c>
      <c r="H7" s="1" t="s">
        <v>16</v>
      </c>
      <c r="I7" s="1" t="s">
        <v>6</v>
      </c>
      <c r="J7" s="1" t="s">
        <v>7</v>
      </c>
      <c r="K7" s="1" t="s">
        <v>17</v>
      </c>
      <c r="L7" s="1" t="s">
        <v>18</v>
      </c>
      <c r="M7" s="1" t="s">
        <v>14</v>
      </c>
      <c r="N7" s="1" t="s">
        <v>13</v>
      </c>
      <c r="O7" s="1" t="s">
        <v>15</v>
      </c>
      <c r="P7" s="20" t="s">
        <v>87</v>
      </c>
      <c r="Q7" s="20" t="s">
        <v>88</v>
      </c>
      <c r="R7" s="25" t="s">
        <v>260</v>
      </c>
    </row>
    <row r="8" spans="1:21" ht="15" thickBot="1" x14ac:dyDescent="0.4">
      <c r="B8" s="8"/>
      <c r="C8" s="19"/>
      <c r="D8" s="19"/>
      <c r="E8" s="19"/>
      <c r="F8" s="3"/>
      <c r="G8" s="3"/>
      <c r="H8" s="3"/>
      <c r="I8" s="3"/>
      <c r="J8" s="3"/>
      <c r="K8" s="3"/>
      <c r="L8" s="3"/>
      <c r="M8" s="3"/>
      <c r="N8" s="3"/>
      <c r="O8" s="3"/>
      <c r="P8" s="22"/>
      <c r="Q8" s="22"/>
      <c r="R8" s="26"/>
    </row>
    <row r="9" spans="1:21" x14ac:dyDescent="0.35">
      <c r="A9" s="351" t="s">
        <v>29</v>
      </c>
      <c r="B9" s="63">
        <v>1</v>
      </c>
      <c r="C9" s="332" t="s">
        <v>208</v>
      </c>
      <c r="D9" s="64">
        <v>1</v>
      </c>
      <c r="E9" s="108">
        <f>'F2-A Projected Available NWO'!L9</f>
        <v>161386195</v>
      </c>
      <c r="F9" s="105"/>
      <c r="G9" s="105"/>
      <c r="H9" s="105"/>
      <c r="I9" s="105"/>
      <c r="J9" s="105"/>
      <c r="K9" s="105"/>
      <c r="L9" s="105"/>
      <c r="M9" s="105"/>
      <c r="N9" s="105"/>
      <c r="O9" s="105"/>
      <c r="P9" s="109"/>
      <c r="Q9" s="109"/>
      <c r="R9" s="110"/>
    </row>
    <row r="10" spans="1:21" ht="15" thickBot="1" x14ac:dyDescent="0.4">
      <c r="A10" s="352"/>
      <c r="B10" s="63">
        <v>1.5</v>
      </c>
      <c r="C10" s="333"/>
      <c r="D10" s="64">
        <v>1.5</v>
      </c>
      <c r="E10" s="108">
        <f>'F2-A Projected Available NWO'!L10</f>
        <v>80693097.5</v>
      </c>
      <c r="F10" s="105"/>
      <c r="G10" s="105"/>
      <c r="H10" s="105"/>
      <c r="I10" s="105"/>
      <c r="J10" s="105"/>
      <c r="K10" s="105"/>
      <c r="L10" s="105"/>
      <c r="M10" s="105"/>
      <c r="N10" s="105"/>
      <c r="O10" s="105"/>
      <c r="P10" s="109"/>
      <c r="Q10" s="109"/>
      <c r="R10" s="110"/>
    </row>
    <row r="11" spans="1:21" x14ac:dyDescent="0.35">
      <c r="A11" s="329" t="s">
        <v>30</v>
      </c>
      <c r="B11" s="63">
        <v>1</v>
      </c>
      <c r="C11" s="333"/>
      <c r="D11" s="64">
        <f>D10+1</f>
        <v>2.5</v>
      </c>
      <c r="E11" s="108">
        <f>'F2-A Projected Available NWO'!L11</f>
        <v>165932285</v>
      </c>
      <c r="F11" s="66">
        <f>$E11*'F2-B Cost Recovery Charges'!U11</f>
        <v>0</v>
      </c>
      <c r="G11" s="66">
        <f>$E11*'F2-B Cost Recovery Charges'!V11</f>
        <v>0</v>
      </c>
      <c r="H11" s="66">
        <f>F11+G11</f>
        <v>0</v>
      </c>
      <c r="I11" s="66">
        <f>$E11*'F2-B Cost Recovery Charges'!S11</f>
        <v>0</v>
      </c>
      <c r="J11" s="66">
        <f>$E11*'F2-B Cost Recovery Charges'!T11</f>
        <v>0</v>
      </c>
      <c r="K11" s="68">
        <f>I11+J11</f>
        <v>0</v>
      </c>
      <c r="L11" s="111">
        <f t="shared" ref="L11:L25" si="0">K11+H11</f>
        <v>0</v>
      </c>
      <c r="M11" s="66">
        <f>$E11*'F2-B Cost Recovery Charges'!X11</f>
        <v>0</v>
      </c>
      <c r="N11" s="66">
        <f>$E11*'F2-B Cost Recovery Charges'!W11</f>
        <v>0</v>
      </c>
      <c r="O11" s="111">
        <f t="shared" ref="O11:O25" si="1">M11+N11</f>
        <v>0</v>
      </c>
      <c r="P11" s="112">
        <f>O11+L11</f>
        <v>0</v>
      </c>
      <c r="Q11" s="112">
        <f>$E11*'F2-B Cost Recovery Charges'!Y11</f>
        <v>0</v>
      </c>
      <c r="R11" s="113">
        <f>Q11+P11</f>
        <v>0</v>
      </c>
      <c r="T11" s="28"/>
      <c r="U11" s="28"/>
    </row>
    <row r="12" spans="1:21" x14ac:dyDescent="0.35">
      <c r="A12" s="330"/>
      <c r="B12" s="63">
        <f t="shared" ref="B12:B25" si="2">B11+1</f>
        <v>2</v>
      </c>
      <c r="C12" s="333"/>
      <c r="D12" s="64">
        <f t="shared" ref="D12:D25" si="3">D11+1</f>
        <v>3.5</v>
      </c>
      <c r="E12" s="108">
        <f>'F2-A Projected Available NWO'!L12</f>
        <v>165932285</v>
      </c>
      <c r="F12" s="66">
        <f>$E12*'F2-B Cost Recovery Charges'!U12</f>
        <v>0</v>
      </c>
      <c r="G12" s="66">
        <f>$E12*'F2-B Cost Recovery Charges'!V12</f>
        <v>0</v>
      </c>
      <c r="H12" s="66">
        <f t="shared" ref="H12:H25" si="4">F12+G12</f>
        <v>0</v>
      </c>
      <c r="I12" s="66">
        <f>$E12*'F2-B Cost Recovery Charges'!S12</f>
        <v>0</v>
      </c>
      <c r="J12" s="66">
        <f>$E12*'F2-B Cost Recovery Charges'!T12</f>
        <v>0</v>
      </c>
      <c r="K12" s="68">
        <f t="shared" ref="K12:K25" si="5">I12+J12</f>
        <v>0</v>
      </c>
      <c r="L12" s="111">
        <f t="shared" si="0"/>
        <v>0</v>
      </c>
      <c r="M12" s="66">
        <f>$E12*'F2-B Cost Recovery Charges'!X12</f>
        <v>0</v>
      </c>
      <c r="N12" s="66">
        <f>$E12*'F2-B Cost Recovery Charges'!W12</f>
        <v>0</v>
      </c>
      <c r="O12" s="111">
        <f t="shared" si="1"/>
        <v>0</v>
      </c>
      <c r="P12" s="112">
        <f t="shared" ref="P12:P25" si="6">O12+L12</f>
        <v>0</v>
      </c>
      <c r="Q12" s="112">
        <f>$E12*'F2-B Cost Recovery Charges'!Y12</f>
        <v>0</v>
      </c>
      <c r="R12" s="113">
        <f t="shared" ref="R12:R25" si="7">Q12+P12</f>
        <v>0</v>
      </c>
      <c r="T12" s="28"/>
      <c r="U12" s="28"/>
    </row>
    <row r="13" spans="1:21" x14ac:dyDescent="0.35">
      <c r="A13" s="330"/>
      <c r="B13" s="63">
        <f t="shared" si="2"/>
        <v>3</v>
      </c>
      <c r="C13" s="333"/>
      <c r="D13" s="64">
        <f t="shared" si="3"/>
        <v>4.5</v>
      </c>
      <c r="E13" s="108">
        <f>'F2-A Projected Available NWO'!L13</f>
        <v>165932285</v>
      </c>
      <c r="F13" s="66">
        <f>$E13*'F2-B Cost Recovery Charges'!U13</f>
        <v>0</v>
      </c>
      <c r="G13" s="66">
        <f>$E13*'F2-B Cost Recovery Charges'!V13</f>
        <v>0</v>
      </c>
      <c r="H13" s="66">
        <f t="shared" si="4"/>
        <v>0</v>
      </c>
      <c r="I13" s="66">
        <f>$E13*'F2-B Cost Recovery Charges'!S13</f>
        <v>0</v>
      </c>
      <c r="J13" s="66">
        <f>$E13*'F2-B Cost Recovery Charges'!T13</f>
        <v>0</v>
      </c>
      <c r="K13" s="68">
        <f t="shared" si="5"/>
        <v>0</v>
      </c>
      <c r="L13" s="111">
        <f t="shared" si="0"/>
        <v>0</v>
      </c>
      <c r="M13" s="66">
        <f>$E13*'F2-B Cost Recovery Charges'!X13</f>
        <v>0</v>
      </c>
      <c r="N13" s="66">
        <f>$E13*'F2-B Cost Recovery Charges'!W13</f>
        <v>0</v>
      </c>
      <c r="O13" s="111">
        <f t="shared" si="1"/>
        <v>0</v>
      </c>
      <c r="P13" s="112">
        <f t="shared" si="6"/>
        <v>0</v>
      </c>
      <c r="Q13" s="112">
        <f>$E13*'F2-B Cost Recovery Charges'!Y13</f>
        <v>0</v>
      </c>
      <c r="R13" s="113">
        <f t="shared" si="7"/>
        <v>0</v>
      </c>
      <c r="T13" s="28"/>
      <c r="U13" s="28"/>
    </row>
    <row r="14" spans="1:21" x14ac:dyDescent="0.35">
      <c r="A14" s="330"/>
      <c r="B14" s="63">
        <f t="shared" si="2"/>
        <v>4</v>
      </c>
      <c r="C14" s="333"/>
      <c r="D14" s="64">
        <f t="shared" si="3"/>
        <v>5.5</v>
      </c>
      <c r="E14" s="108">
        <f>'F2-A Projected Available NWO'!L14</f>
        <v>165932285</v>
      </c>
      <c r="F14" s="66">
        <f>$E14*'F2-B Cost Recovery Charges'!U14</f>
        <v>0</v>
      </c>
      <c r="G14" s="66">
        <f>$E14*'F2-B Cost Recovery Charges'!V14</f>
        <v>0</v>
      </c>
      <c r="H14" s="66">
        <f t="shared" si="4"/>
        <v>0</v>
      </c>
      <c r="I14" s="66">
        <f>$E14*'F2-B Cost Recovery Charges'!S14</f>
        <v>0</v>
      </c>
      <c r="J14" s="66">
        <f>$E14*'F2-B Cost Recovery Charges'!T14</f>
        <v>0</v>
      </c>
      <c r="K14" s="68">
        <f t="shared" si="5"/>
        <v>0</v>
      </c>
      <c r="L14" s="111">
        <f t="shared" si="0"/>
        <v>0</v>
      </c>
      <c r="M14" s="66">
        <f>$E14*'F2-B Cost Recovery Charges'!X14</f>
        <v>0</v>
      </c>
      <c r="N14" s="66">
        <f>$E14*'F2-B Cost Recovery Charges'!W14</f>
        <v>0</v>
      </c>
      <c r="O14" s="111">
        <f t="shared" si="1"/>
        <v>0</v>
      </c>
      <c r="P14" s="112">
        <f t="shared" si="6"/>
        <v>0</v>
      </c>
      <c r="Q14" s="112">
        <f>$E14*'F2-B Cost Recovery Charges'!Y14</f>
        <v>0</v>
      </c>
      <c r="R14" s="113">
        <f t="shared" si="7"/>
        <v>0</v>
      </c>
      <c r="T14" s="28"/>
      <c r="U14" s="28"/>
    </row>
    <row r="15" spans="1:21" x14ac:dyDescent="0.35">
      <c r="A15" s="330"/>
      <c r="B15" s="63">
        <f t="shared" si="2"/>
        <v>5</v>
      </c>
      <c r="C15" s="333"/>
      <c r="D15" s="64">
        <f t="shared" si="3"/>
        <v>6.5</v>
      </c>
      <c r="E15" s="108">
        <f>'F2-A Projected Available NWO'!L15</f>
        <v>165932285</v>
      </c>
      <c r="F15" s="66">
        <f>$E15*'F2-B Cost Recovery Charges'!U15</f>
        <v>0</v>
      </c>
      <c r="G15" s="66">
        <f>$E15*'F2-B Cost Recovery Charges'!V15</f>
        <v>0</v>
      </c>
      <c r="H15" s="66">
        <f t="shared" si="4"/>
        <v>0</v>
      </c>
      <c r="I15" s="66">
        <f>$E15*'F2-B Cost Recovery Charges'!S15</f>
        <v>0</v>
      </c>
      <c r="J15" s="66">
        <f>$E15*'F2-B Cost Recovery Charges'!T15</f>
        <v>0</v>
      </c>
      <c r="K15" s="68">
        <f t="shared" si="5"/>
        <v>0</v>
      </c>
      <c r="L15" s="111">
        <f t="shared" si="0"/>
        <v>0</v>
      </c>
      <c r="M15" s="66">
        <f>$E15*'F2-B Cost Recovery Charges'!X15</f>
        <v>0</v>
      </c>
      <c r="N15" s="66">
        <f>$E15*'F2-B Cost Recovery Charges'!W15</f>
        <v>0</v>
      </c>
      <c r="O15" s="111">
        <f t="shared" si="1"/>
        <v>0</v>
      </c>
      <c r="P15" s="112">
        <f t="shared" si="6"/>
        <v>0</v>
      </c>
      <c r="Q15" s="112">
        <f>$E15*'F2-B Cost Recovery Charges'!Y15</f>
        <v>0</v>
      </c>
      <c r="R15" s="113">
        <f t="shared" si="7"/>
        <v>0</v>
      </c>
      <c r="T15" s="28"/>
      <c r="U15" s="28"/>
    </row>
    <row r="16" spans="1:21" x14ac:dyDescent="0.35">
      <c r="A16" s="330"/>
      <c r="B16" s="63">
        <f t="shared" si="2"/>
        <v>6</v>
      </c>
      <c r="C16" s="333"/>
      <c r="D16" s="64">
        <f t="shared" si="3"/>
        <v>7.5</v>
      </c>
      <c r="E16" s="108">
        <f>'F2-A Projected Available NWO'!L16</f>
        <v>165932285</v>
      </c>
      <c r="F16" s="66">
        <f>$E16*'F2-B Cost Recovery Charges'!U16</f>
        <v>0</v>
      </c>
      <c r="G16" s="66">
        <f>$E16*'F2-B Cost Recovery Charges'!V16</f>
        <v>0</v>
      </c>
      <c r="H16" s="66">
        <f t="shared" si="4"/>
        <v>0</v>
      </c>
      <c r="I16" s="66">
        <f>$E16*'F2-B Cost Recovery Charges'!S16</f>
        <v>0</v>
      </c>
      <c r="J16" s="66">
        <f>$E16*'F2-B Cost Recovery Charges'!T16</f>
        <v>0</v>
      </c>
      <c r="K16" s="68">
        <f t="shared" si="5"/>
        <v>0</v>
      </c>
      <c r="L16" s="111">
        <f t="shared" si="0"/>
        <v>0</v>
      </c>
      <c r="M16" s="66">
        <f>$E16*'F2-B Cost Recovery Charges'!X16</f>
        <v>0</v>
      </c>
      <c r="N16" s="66">
        <f>$E16*'F2-B Cost Recovery Charges'!W16</f>
        <v>0</v>
      </c>
      <c r="O16" s="111">
        <f t="shared" si="1"/>
        <v>0</v>
      </c>
      <c r="P16" s="112">
        <f t="shared" si="6"/>
        <v>0</v>
      </c>
      <c r="Q16" s="112">
        <f>$E16*'F2-B Cost Recovery Charges'!Y16</f>
        <v>0</v>
      </c>
      <c r="R16" s="113">
        <f t="shared" si="7"/>
        <v>0</v>
      </c>
      <c r="T16" s="28"/>
      <c r="U16" s="28"/>
    </row>
    <row r="17" spans="1:21" x14ac:dyDescent="0.35">
      <c r="A17" s="330"/>
      <c r="B17" s="63">
        <f t="shared" si="2"/>
        <v>7</v>
      </c>
      <c r="C17" s="333"/>
      <c r="D17" s="64">
        <f t="shared" si="3"/>
        <v>8.5</v>
      </c>
      <c r="E17" s="108">
        <f>'F2-A Projected Available NWO'!L17</f>
        <v>165932285</v>
      </c>
      <c r="F17" s="66">
        <f>$E17*'F2-B Cost Recovery Charges'!U17</f>
        <v>0</v>
      </c>
      <c r="G17" s="66">
        <f>$E17*'F2-B Cost Recovery Charges'!V17</f>
        <v>0</v>
      </c>
      <c r="H17" s="66">
        <f t="shared" si="4"/>
        <v>0</v>
      </c>
      <c r="I17" s="66">
        <f>$E17*'F2-B Cost Recovery Charges'!S17</f>
        <v>0</v>
      </c>
      <c r="J17" s="66">
        <f>$E17*'F2-B Cost Recovery Charges'!T17</f>
        <v>0</v>
      </c>
      <c r="K17" s="68">
        <f t="shared" si="5"/>
        <v>0</v>
      </c>
      <c r="L17" s="111">
        <f t="shared" si="0"/>
        <v>0</v>
      </c>
      <c r="M17" s="66">
        <f>$E17*'F2-B Cost Recovery Charges'!X17</f>
        <v>0</v>
      </c>
      <c r="N17" s="66">
        <f>$E17*'F2-B Cost Recovery Charges'!W17</f>
        <v>0</v>
      </c>
      <c r="O17" s="111">
        <f t="shared" si="1"/>
        <v>0</v>
      </c>
      <c r="P17" s="112">
        <f t="shared" si="6"/>
        <v>0</v>
      </c>
      <c r="Q17" s="112">
        <f>$E17*'F2-B Cost Recovery Charges'!Y17</f>
        <v>0</v>
      </c>
      <c r="R17" s="113">
        <f t="shared" si="7"/>
        <v>0</v>
      </c>
      <c r="T17" s="28"/>
      <c r="U17" s="28"/>
    </row>
    <row r="18" spans="1:21" x14ac:dyDescent="0.35">
      <c r="A18" s="330"/>
      <c r="B18" s="63">
        <f t="shared" si="2"/>
        <v>8</v>
      </c>
      <c r="C18" s="333"/>
      <c r="D18" s="64">
        <f t="shared" si="3"/>
        <v>9.5</v>
      </c>
      <c r="E18" s="108">
        <f>'F2-A Projected Available NWO'!L18</f>
        <v>165932285</v>
      </c>
      <c r="F18" s="66">
        <f>$E18*'F2-B Cost Recovery Charges'!U18</f>
        <v>0</v>
      </c>
      <c r="G18" s="66">
        <f>$E18*'F2-B Cost Recovery Charges'!V18</f>
        <v>0</v>
      </c>
      <c r="H18" s="66">
        <f t="shared" si="4"/>
        <v>0</v>
      </c>
      <c r="I18" s="66">
        <f>$E18*'F2-B Cost Recovery Charges'!S18</f>
        <v>0</v>
      </c>
      <c r="J18" s="66">
        <f>$E18*'F2-B Cost Recovery Charges'!T18</f>
        <v>0</v>
      </c>
      <c r="K18" s="68">
        <f t="shared" si="5"/>
        <v>0</v>
      </c>
      <c r="L18" s="111">
        <f t="shared" si="0"/>
        <v>0</v>
      </c>
      <c r="M18" s="66">
        <f>$E18*'F2-B Cost Recovery Charges'!X18</f>
        <v>0</v>
      </c>
      <c r="N18" s="66">
        <f>$E18*'F2-B Cost Recovery Charges'!W18</f>
        <v>0</v>
      </c>
      <c r="O18" s="111">
        <f t="shared" si="1"/>
        <v>0</v>
      </c>
      <c r="P18" s="112">
        <f t="shared" si="6"/>
        <v>0</v>
      </c>
      <c r="Q18" s="112">
        <f>$E18*'F2-B Cost Recovery Charges'!Y18</f>
        <v>0</v>
      </c>
      <c r="R18" s="113">
        <f t="shared" si="7"/>
        <v>0</v>
      </c>
      <c r="T18" s="28"/>
      <c r="U18" s="28"/>
    </row>
    <row r="19" spans="1:21" x14ac:dyDescent="0.35">
      <c r="A19" s="330"/>
      <c r="B19" s="63">
        <f t="shared" si="2"/>
        <v>9</v>
      </c>
      <c r="C19" s="333"/>
      <c r="D19" s="64">
        <f t="shared" si="3"/>
        <v>10.5</v>
      </c>
      <c r="E19" s="108">
        <f>'F2-A Projected Available NWO'!L19</f>
        <v>165932285</v>
      </c>
      <c r="F19" s="66">
        <f>$E19*'F2-B Cost Recovery Charges'!U19</f>
        <v>0</v>
      </c>
      <c r="G19" s="66">
        <f>$E19*'F2-B Cost Recovery Charges'!V19</f>
        <v>0</v>
      </c>
      <c r="H19" s="66">
        <f t="shared" si="4"/>
        <v>0</v>
      </c>
      <c r="I19" s="66">
        <f>$E19*'F2-B Cost Recovery Charges'!S19</f>
        <v>0</v>
      </c>
      <c r="J19" s="66">
        <f>$E19*'F2-B Cost Recovery Charges'!T19</f>
        <v>0</v>
      </c>
      <c r="K19" s="68">
        <f t="shared" si="5"/>
        <v>0</v>
      </c>
      <c r="L19" s="111">
        <f t="shared" si="0"/>
        <v>0</v>
      </c>
      <c r="M19" s="66">
        <f>$E19*'F2-B Cost Recovery Charges'!X19</f>
        <v>0</v>
      </c>
      <c r="N19" s="66">
        <f>$E19*'F2-B Cost Recovery Charges'!W19</f>
        <v>0</v>
      </c>
      <c r="O19" s="111">
        <f t="shared" si="1"/>
        <v>0</v>
      </c>
      <c r="P19" s="112">
        <f t="shared" si="6"/>
        <v>0</v>
      </c>
      <c r="Q19" s="112">
        <f>$E19*'F2-B Cost Recovery Charges'!Y19</f>
        <v>0</v>
      </c>
      <c r="R19" s="113">
        <f t="shared" si="7"/>
        <v>0</v>
      </c>
      <c r="T19" s="28"/>
      <c r="U19" s="28"/>
    </row>
    <row r="20" spans="1:21" x14ac:dyDescent="0.35">
      <c r="A20" s="330"/>
      <c r="B20" s="63">
        <f t="shared" si="2"/>
        <v>10</v>
      </c>
      <c r="C20" s="333"/>
      <c r="D20" s="64">
        <f t="shared" si="3"/>
        <v>11.5</v>
      </c>
      <c r="E20" s="108">
        <f>'F2-A Projected Available NWO'!L20</f>
        <v>165932285</v>
      </c>
      <c r="F20" s="66">
        <f>$E20*'F2-B Cost Recovery Charges'!U20</f>
        <v>0</v>
      </c>
      <c r="G20" s="66">
        <f>$E20*'F2-B Cost Recovery Charges'!V20</f>
        <v>0</v>
      </c>
      <c r="H20" s="66">
        <f t="shared" si="4"/>
        <v>0</v>
      </c>
      <c r="I20" s="66">
        <f>$E20*'F2-B Cost Recovery Charges'!S20</f>
        <v>0</v>
      </c>
      <c r="J20" s="66">
        <f>$E20*'F2-B Cost Recovery Charges'!T20</f>
        <v>0</v>
      </c>
      <c r="K20" s="68">
        <f t="shared" si="5"/>
        <v>0</v>
      </c>
      <c r="L20" s="111">
        <f t="shared" si="0"/>
        <v>0</v>
      </c>
      <c r="M20" s="66">
        <f>$E20*'F2-B Cost Recovery Charges'!X20</f>
        <v>0</v>
      </c>
      <c r="N20" s="66">
        <f>$E20*'F2-B Cost Recovery Charges'!W20</f>
        <v>0</v>
      </c>
      <c r="O20" s="111">
        <f t="shared" si="1"/>
        <v>0</v>
      </c>
      <c r="P20" s="112">
        <f t="shared" si="6"/>
        <v>0</v>
      </c>
      <c r="Q20" s="112">
        <f>$E20*'F2-B Cost Recovery Charges'!Y20</f>
        <v>0</v>
      </c>
      <c r="R20" s="113">
        <f t="shared" si="7"/>
        <v>0</v>
      </c>
      <c r="T20" s="28"/>
      <c r="U20" s="28"/>
    </row>
    <row r="21" spans="1:21" x14ac:dyDescent="0.35">
      <c r="A21" s="330"/>
      <c r="B21" s="63">
        <f t="shared" si="2"/>
        <v>11</v>
      </c>
      <c r="C21" s="333"/>
      <c r="D21" s="64">
        <f t="shared" si="3"/>
        <v>12.5</v>
      </c>
      <c r="E21" s="108">
        <f>'F2-A Projected Available NWO'!L21</f>
        <v>165932285</v>
      </c>
      <c r="F21" s="66">
        <f>$E21*'F2-B Cost Recovery Charges'!U21</f>
        <v>0</v>
      </c>
      <c r="G21" s="66">
        <f>$E21*'F2-B Cost Recovery Charges'!V21</f>
        <v>0</v>
      </c>
      <c r="H21" s="66">
        <f t="shared" si="4"/>
        <v>0</v>
      </c>
      <c r="I21" s="66">
        <f>$E21*'F2-B Cost Recovery Charges'!S21</f>
        <v>0</v>
      </c>
      <c r="J21" s="66">
        <f>$E21*'F2-B Cost Recovery Charges'!T21</f>
        <v>0</v>
      </c>
      <c r="K21" s="68">
        <f t="shared" si="5"/>
        <v>0</v>
      </c>
      <c r="L21" s="111">
        <f t="shared" si="0"/>
        <v>0</v>
      </c>
      <c r="M21" s="66">
        <f>$E21*'F2-B Cost Recovery Charges'!X21</f>
        <v>0</v>
      </c>
      <c r="N21" s="66">
        <f>$E21*'F2-B Cost Recovery Charges'!W21</f>
        <v>0</v>
      </c>
      <c r="O21" s="111">
        <f t="shared" si="1"/>
        <v>0</v>
      </c>
      <c r="P21" s="112">
        <f t="shared" si="6"/>
        <v>0</v>
      </c>
      <c r="Q21" s="112">
        <f>$E21*'F2-B Cost Recovery Charges'!Y21</f>
        <v>0</v>
      </c>
      <c r="R21" s="113">
        <f t="shared" si="7"/>
        <v>0</v>
      </c>
      <c r="T21" s="28"/>
      <c r="U21" s="28"/>
    </row>
    <row r="22" spans="1:21" x14ac:dyDescent="0.35">
      <c r="A22" s="330"/>
      <c r="B22" s="63">
        <f t="shared" si="2"/>
        <v>12</v>
      </c>
      <c r="C22" s="333"/>
      <c r="D22" s="64">
        <f t="shared" si="3"/>
        <v>13.5</v>
      </c>
      <c r="E22" s="108">
        <f>'F2-A Projected Available NWO'!L22</f>
        <v>165932285</v>
      </c>
      <c r="F22" s="66">
        <f>$E22*'F2-B Cost Recovery Charges'!U22</f>
        <v>0</v>
      </c>
      <c r="G22" s="66">
        <f>$E22*'F2-B Cost Recovery Charges'!V22</f>
        <v>0</v>
      </c>
      <c r="H22" s="66">
        <f t="shared" si="4"/>
        <v>0</v>
      </c>
      <c r="I22" s="66">
        <f>$E22*'F2-B Cost Recovery Charges'!S22</f>
        <v>0</v>
      </c>
      <c r="J22" s="66">
        <f>$E22*'F2-B Cost Recovery Charges'!T22</f>
        <v>0</v>
      </c>
      <c r="K22" s="68">
        <f t="shared" si="5"/>
        <v>0</v>
      </c>
      <c r="L22" s="111">
        <f t="shared" si="0"/>
        <v>0</v>
      </c>
      <c r="M22" s="66">
        <f>$E22*'F2-B Cost Recovery Charges'!X22</f>
        <v>0</v>
      </c>
      <c r="N22" s="66">
        <f>$E22*'F2-B Cost Recovery Charges'!W22</f>
        <v>0</v>
      </c>
      <c r="O22" s="111">
        <f t="shared" si="1"/>
        <v>0</v>
      </c>
      <c r="P22" s="112">
        <f t="shared" si="6"/>
        <v>0</v>
      </c>
      <c r="Q22" s="112">
        <f>$E22*'F2-B Cost Recovery Charges'!Y22</f>
        <v>0</v>
      </c>
      <c r="R22" s="113">
        <f t="shared" si="7"/>
        <v>0</v>
      </c>
      <c r="T22" s="28"/>
      <c r="U22" s="28"/>
    </row>
    <row r="23" spans="1:21" x14ac:dyDescent="0.35">
      <c r="A23" s="330"/>
      <c r="B23" s="63">
        <f t="shared" si="2"/>
        <v>13</v>
      </c>
      <c r="C23" s="333"/>
      <c r="D23" s="64">
        <f t="shared" si="3"/>
        <v>14.5</v>
      </c>
      <c r="E23" s="108">
        <f>'F2-A Projected Available NWO'!L23</f>
        <v>165932285</v>
      </c>
      <c r="F23" s="66">
        <f>$E23*'F2-B Cost Recovery Charges'!U23</f>
        <v>0</v>
      </c>
      <c r="G23" s="66">
        <f>$E23*'F2-B Cost Recovery Charges'!V23</f>
        <v>0</v>
      </c>
      <c r="H23" s="66">
        <f t="shared" si="4"/>
        <v>0</v>
      </c>
      <c r="I23" s="66">
        <f>$E23*'F2-B Cost Recovery Charges'!S23</f>
        <v>0</v>
      </c>
      <c r="J23" s="66">
        <f>$E23*'F2-B Cost Recovery Charges'!T23</f>
        <v>0</v>
      </c>
      <c r="K23" s="68">
        <f t="shared" si="5"/>
        <v>0</v>
      </c>
      <c r="L23" s="111">
        <f t="shared" si="0"/>
        <v>0</v>
      </c>
      <c r="M23" s="66">
        <f>$E23*'F2-B Cost Recovery Charges'!X23</f>
        <v>0</v>
      </c>
      <c r="N23" s="66">
        <f>$E23*'F2-B Cost Recovery Charges'!W23</f>
        <v>0</v>
      </c>
      <c r="O23" s="111">
        <f t="shared" si="1"/>
        <v>0</v>
      </c>
      <c r="P23" s="112">
        <f t="shared" si="6"/>
        <v>0</v>
      </c>
      <c r="Q23" s="112">
        <f>$E23*'F2-B Cost Recovery Charges'!Y23</f>
        <v>0</v>
      </c>
      <c r="R23" s="113">
        <f t="shared" si="7"/>
        <v>0</v>
      </c>
      <c r="T23" s="28"/>
      <c r="U23" s="28"/>
    </row>
    <row r="24" spans="1:21" x14ac:dyDescent="0.35">
      <c r="A24" s="330"/>
      <c r="B24" s="63">
        <f t="shared" si="2"/>
        <v>14</v>
      </c>
      <c r="C24" s="333"/>
      <c r="D24" s="64">
        <f t="shared" si="3"/>
        <v>15.5</v>
      </c>
      <c r="E24" s="108">
        <f>'F2-A Projected Available NWO'!L24</f>
        <v>165932285</v>
      </c>
      <c r="F24" s="66">
        <f>$E24*'F2-B Cost Recovery Charges'!U24</f>
        <v>0</v>
      </c>
      <c r="G24" s="66">
        <f>$E24*'F2-B Cost Recovery Charges'!V24</f>
        <v>0</v>
      </c>
      <c r="H24" s="66">
        <f t="shared" si="4"/>
        <v>0</v>
      </c>
      <c r="I24" s="66">
        <f>$E24*'F2-B Cost Recovery Charges'!S24</f>
        <v>0</v>
      </c>
      <c r="J24" s="66">
        <f>$E24*'F2-B Cost Recovery Charges'!T24</f>
        <v>0</v>
      </c>
      <c r="K24" s="68">
        <f t="shared" si="5"/>
        <v>0</v>
      </c>
      <c r="L24" s="111">
        <f t="shared" si="0"/>
        <v>0</v>
      </c>
      <c r="M24" s="66">
        <f>$E24*'F2-B Cost Recovery Charges'!X24</f>
        <v>0</v>
      </c>
      <c r="N24" s="66">
        <f>$E24*'F2-B Cost Recovery Charges'!W24</f>
        <v>0</v>
      </c>
      <c r="O24" s="111">
        <f t="shared" si="1"/>
        <v>0</v>
      </c>
      <c r="P24" s="112">
        <f t="shared" si="6"/>
        <v>0</v>
      </c>
      <c r="Q24" s="112">
        <f>$E24*'F2-B Cost Recovery Charges'!Y24</f>
        <v>0</v>
      </c>
      <c r="R24" s="113">
        <f t="shared" si="7"/>
        <v>0</v>
      </c>
      <c r="T24" s="28"/>
      <c r="U24" s="28"/>
    </row>
    <row r="25" spans="1:21" ht="15" thickBot="1" x14ac:dyDescent="0.4">
      <c r="A25" s="331"/>
      <c r="B25" s="69">
        <f t="shared" si="2"/>
        <v>15</v>
      </c>
      <c r="C25" s="334"/>
      <c r="D25" s="70">
        <f t="shared" si="3"/>
        <v>16.5</v>
      </c>
      <c r="E25" s="114">
        <f>'F2-A Projected Available NWO'!L25</f>
        <v>165932285</v>
      </c>
      <c r="F25" s="115">
        <f>$E25*'F2-B Cost Recovery Charges'!U25</f>
        <v>0</v>
      </c>
      <c r="G25" s="115">
        <f>$E25*'F2-B Cost Recovery Charges'!V25</f>
        <v>0</v>
      </c>
      <c r="H25" s="115">
        <f t="shared" si="4"/>
        <v>0</v>
      </c>
      <c r="I25" s="115">
        <f>$E25*'F2-B Cost Recovery Charges'!S25</f>
        <v>0</v>
      </c>
      <c r="J25" s="115">
        <f>$E25*'F2-B Cost Recovery Charges'!T25</f>
        <v>0</v>
      </c>
      <c r="K25" s="72">
        <f t="shared" si="5"/>
        <v>0</v>
      </c>
      <c r="L25" s="116">
        <f t="shared" si="0"/>
        <v>0</v>
      </c>
      <c r="M25" s="115">
        <f>$E25*'F2-B Cost Recovery Charges'!X25</f>
        <v>0</v>
      </c>
      <c r="N25" s="115">
        <f>$E25*'F2-B Cost Recovery Charges'!W25</f>
        <v>0</v>
      </c>
      <c r="O25" s="116">
        <f t="shared" si="1"/>
        <v>0</v>
      </c>
      <c r="P25" s="117">
        <f t="shared" si="6"/>
        <v>0</v>
      </c>
      <c r="Q25" s="117">
        <f>$E25*'F2-B Cost Recovery Charges'!Y25</f>
        <v>0</v>
      </c>
      <c r="R25" s="118">
        <f t="shared" si="7"/>
        <v>0</v>
      </c>
      <c r="T25" s="28"/>
      <c r="U25" s="28"/>
    </row>
    <row r="26" spans="1:21" s="9" customFormat="1" ht="15" thickBot="1" x14ac:dyDescent="0.4"/>
    <row r="27" spans="1:21" s="9" customFormat="1" ht="15" thickBot="1" x14ac:dyDescent="0.4">
      <c r="C27" s="10"/>
      <c r="D27" s="13" t="s">
        <v>9</v>
      </c>
      <c r="G27" s="13"/>
    </row>
    <row r="28" spans="1:21" s="9" customFormat="1" ht="15" thickBot="1" x14ac:dyDescent="0.4">
      <c r="C28" s="11"/>
      <c r="D28" s="13" t="s">
        <v>121</v>
      </c>
    </row>
    <row r="29" spans="1:21" s="9" customFormat="1" ht="15" thickBot="1" x14ac:dyDescent="0.4">
      <c r="C29" s="12"/>
      <c r="D29" s="13" t="s">
        <v>10</v>
      </c>
    </row>
    <row r="30" spans="1:21" s="9" customFormat="1" x14ac:dyDescent="0.35"/>
    <row r="31" spans="1:21" s="9" customFormat="1" x14ac:dyDescent="0.35"/>
    <row r="32" spans="1:21" s="9" customFormat="1" x14ac:dyDescent="0.35">
      <c r="F32" s="13"/>
    </row>
    <row r="33" s="9" customFormat="1" x14ac:dyDescent="0.35"/>
    <row r="34" s="9" customFormat="1" x14ac:dyDescent="0.35"/>
    <row r="35" s="9" customFormat="1" x14ac:dyDescent="0.35"/>
    <row r="36" s="9" customFormat="1" x14ac:dyDescent="0.35"/>
    <row r="37" s="9" customFormat="1" x14ac:dyDescent="0.35"/>
    <row r="38" s="9" customFormat="1" x14ac:dyDescent="0.35"/>
    <row r="39" s="9" customFormat="1" x14ac:dyDescent="0.35"/>
    <row r="40" s="9" customFormat="1" x14ac:dyDescent="0.35"/>
    <row r="41" s="9" customFormat="1" x14ac:dyDescent="0.35"/>
    <row r="42" s="9" customFormat="1" x14ac:dyDescent="0.35"/>
    <row r="43" s="9" customFormat="1" x14ac:dyDescent="0.35"/>
    <row r="44" s="9" customFormat="1" x14ac:dyDescent="0.35"/>
  </sheetData>
  <sheetProtection algorithmName="SHA-512" hashValue="ynn/kaX48e9G4hIkX9SNk+o9uDGBwHGa/UTfOK+ZyOWeao3npzqlP8E7Tka+o3KSA5fYdiQ3ZrHcbmGYx/E9Bg==" saltValue="l9r3amFugVxDLyOao1VdDQ==" spinCount="100000" sheet="1" objects="1" scenarios="1"/>
  <mergeCells count="4">
    <mergeCell ref="B2:Q2"/>
    <mergeCell ref="A9:A10"/>
    <mergeCell ref="A11:A25"/>
    <mergeCell ref="C9:C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C665-0CA9-4910-AF70-B8F940401DBE}">
  <dimension ref="A1:AC46"/>
  <sheetViews>
    <sheetView topLeftCell="B4" zoomScale="70" zoomScaleNormal="70" workbookViewId="0">
      <selection activeCell="G11" sqref="G11"/>
    </sheetView>
  </sheetViews>
  <sheetFormatPr defaultRowHeight="14.5" x14ac:dyDescent="0.35"/>
  <cols>
    <col min="1" max="1" width="9.81640625" style="36" customWidth="1"/>
    <col min="2" max="2" width="7" style="42" customWidth="1"/>
    <col min="3" max="4" width="10.54296875" style="42" customWidth="1"/>
    <col min="5" max="5" width="10.26953125" style="42" customWidth="1"/>
    <col min="6" max="8" width="20.81640625" style="42" customWidth="1"/>
    <col min="9" max="10" width="19.81640625" style="42" customWidth="1"/>
    <col min="11" max="11" width="15.81640625" style="42" customWidth="1"/>
    <col min="12" max="12" width="20.1796875" style="42" customWidth="1"/>
    <col min="13" max="13" width="20.81640625" style="42" customWidth="1"/>
    <col min="14" max="14" width="14.453125" style="42" customWidth="1"/>
    <col min="15" max="29" width="8.7265625" style="36"/>
    <col min="30" max="16384" width="8.7265625" style="42"/>
  </cols>
  <sheetData>
    <row r="1" spans="1:16" s="36" customFormat="1" x14ac:dyDescent="0.35"/>
    <row r="2" spans="1:16" s="36" customFormat="1" ht="17.5" x14ac:dyDescent="0.35">
      <c r="B2" s="359" t="s">
        <v>76</v>
      </c>
      <c r="C2" s="359"/>
      <c r="D2" s="359"/>
      <c r="E2" s="359"/>
      <c r="F2" s="359"/>
      <c r="G2" s="359"/>
      <c r="H2" s="359"/>
      <c r="I2" s="359"/>
      <c r="J2" s="359"/>
      <c r="K2" s="359"/>
      <c r="L2" s="359"/>
      <c r="M2" s="359"/>
      <c r="N2" s="359"/>
    </row>
    <row r="3" spans="1:16" s="36" customFormat="1" ht="15" thickBot="1" x14ac:dyDescent="0.4"/>
    <row r="4" spans="1:16" ht="31.5" customHeight="1" x14ac:dyDescent="0.35">
      <c r="B4" s="43"/>
      <c r="C4" s="44"/>
      <c r="D4" s="44"/>
      <c r="E4" s="44"/>
      <c r="F4" s="119" t="s">
        <v>78</v>
      </c>
      <c r="G4" s="119" t="s">
        <v>79</v>
      </c>
      <c r="H4" s="119" t="s">
        <v>81</v>
      </c>
      <c r="I4" s="45" t="s">
        <v>115</v>
      </c>
      <c r="J4" s="45" t="s">
        <v>116</v>
      </c>
      <c r="K4" s="45" t="s">
        <v>83</v>
      </c>
      <c r="L4" s="45" t="s">
        <v>100</v>
      </c>
      <c r="M4" s="46" t="s">
        <v>102</v>
      </c>
      <c r="N4" s="120" t="s">
        <v>76</v>
      </c>
    </row>
    <row r="5" spans="1:16" x14ac:dyDescent="0.35">
      <c r="B5" s="360" t="s">
        <v>0</v>
      </c>
      <c r="C5" s="121"/>
      <c r="D5" s="121"/>
      <c r="E5" s="363" t="s">
        <v>118</v>
      </c>
      <c r="F5" s="48"/>
      <c r="G5" s="48"/>
      <c r="H5" s="48"/>
      <c r="I5" s="49"/>
      <c r="J5" s="49"/>
      <c r="K5" s="49"/>
      <c r="L5" s="49"/>
      <c r="M5" s="52"/>
      <c r="N5" s="122"/>
    </row>
    <row r="6" spans="1:16" x14ac:dyDescent="0.35">
      <c r="B6" s="361"/>
      <c r="C6" s="123"/>
      <c r="D6" s="123"/>
      <c r="E6" s="346"/>
      <c r="F6" s="57" t="s">
        <v>77</v>
      </c>
      <c r="G6" s="57" t="s">
        <v>80</v>
      </c>
      <c r="H6" s="57" t="s">
        <v>77</v>
      </c>
      <c r="I6" s="50" t="s">
        <v>82</v>
      </c>
      <c r="J6" s="50"/>
      <c r="K6" s="50" t="s">
        <v>52</v>
      </c>
      <c r="L6" s="51" t="s">
        <v>90</v>
      </c>
      <c r="M6" s="124" t="s">
        <v>90</v>
      </c>
      <c r="N6" s="125" t="s">
        <v>90</v>
      </c>
    </row>
    <row r="7" spans="1:16" x14ac:dyDescent="0.35">
      <c r="B7" s="362"/>
      <c r="C7" s="48"/>
      <c r="D7" s="48" t="s">
        <v>0</v>
      </c>
      <c r="E7" s="347"/>
      <c r="F7" s="57" t="s">
        <v>125</v>
      </c>
      <c r="G7" s="57" t="s">
        <v>126</v>
      </c>
      <c r="H7" s="57" t="s">
        <v>86</v>
      </c>
      <c r="I7" s="50" t="s">
        <v>85</v>
      </c>
      <c r="J7" s="50" t="s">
        <v>117</v>
      </c>
      <c r="K7" s="50" t="s">
        <v>84</v>
      </c>
      <c r="L7" s="50" t="s">
        <v>101</v>
      </c>
      <c r="M7" s="55" t="s">
        <v>103</v>
      </c>
      <c r="N7" s="126" t="s">
        <v>127</v>
      </c>
    </row>
    <row r="8" spans="1:16" ht="15" thickBot="1" x14ac:dyDescent="0.4">
      <c r="B8" s="59"/>
      <c r="C8" s="60"/>
      <c r="D8" s="60"/>
      <c r="E8" s="60"/>
      <c r="F8" s="60"/>
      <c r="G8" s="60"/>
      <c r="H8" s="60"/>
      <c r="I8" s="61"/>
      <c r="J8" s="61"/>
      <c r="K8" s="61"/>
      <c r="L8" s="61"/>
      <c r="M8" s="62"/>
      <c r="N8" s="127"/>
      <c r="P8" s="128"/>
    </row>
    <row r="9" spans="1:16" x14ac:dyDescent="0.35">
      <c r="A9" s="351" t="s">
        <v>29</v>
      </c>
      <c r="B9" s="63">
        <v>1</v>
      </c>
      <c r="C9" s="332" t="s">
        <v>208</v>
      </c>
      <c r="D9" s="64">
        <v>1</v>
      </c>
      <c r="E9" s="64">
        <v>1</v>
      </c>
      <c r="F9" s="108">
        <f>'F2-A Projected Available NWO'!L9</f>
        <v>161386195</v>
      </c>
      <c r="G9" s="129">
        <v>0.25</v>
      </c>
      <c r="H9" s="108">
        <f>F9*(1-G9)</f>
        <v>121039646.25</v>
      </c>
      <c r="I9" s="130">
        <f>'F2-F Service Payment and NPV'!I33</f>
        <v>39</v>
      </c>
      <c r="J9" s="130">
        <f>(1+'F2-F Service Payment and NPV'!$I$35)^(E9-1)</f>
        <v>1</v>
      </c>
      <c r="K9" s="108">
        <f>H9*'F2-C Electricity '!E9-'F2-C Electricity '!R9</f>
        <v>42363876.1875</v>
      </c>
      <c r="L9" s="108">
        <f>K9*I9*J9</f>
        <v>1652191171.3125</v>
      </c>
      <c r="M9" s="131">
        <f>H9*'F2-B Cost Recovery Charges'!Z9</f>
        <v>0</v>
      </c>
      <c r="N9" s="132">
        <f>M9+L9</f>
        <v>1652191171.3125</v>
      </c>
      <c r="P9" s="128"/>
    </row>
    <row r="10" spans="1:16" ht="15" thickBot="1" x14ac:dyDescent="0.4">
      <c r="A10" s="352"/>
      <c r="B10" s="63">
        <v>1.5</v>
      </c>
      <c r="C10" s="333"/>
      <c r="D10" s="64">
        <v>1.5</v>
      </c>
      <c r="E10" s="64">
        <v>1.5</v>
      </c>
      <c r="F10" s="108">
        <f>'F2-A Projected Available NWO'!L10</f>
        <v>80693097.5</v>
      </c>
      <c r="G10" s="133">
        <f>G9</f>
        <v>0.25</v>
      </c>
      <c r="H10" s="108">
        <f t="shared" ref="H10:H25" si="0">F10*(1-G10)</f>
        <v>60519823.125</v>
      </c>
      <c r="I10" s="130">
        <f>I9</f>
        <v>39</v>
      </c>
      <c r="J10" s="130">
        <f>(1+'F2-F Service Payment and NPV'!$I$35)^(E10-1)</f>
        <v>1.0440306508910551</v>
      </c>
      <c r="K10" s="108">
        <f>H10*'F2-C Electricity '!E10-'F2-C Electricity '!R10</f>
        <v>21181938.09375</v>
      </c>
      <c r="L10" s="108">
        <f t="shared" ref="L10:L25" si="1">K10*I10*J10</f>
        <v>862469111.99092197</v>
      </c>
      <c r="M10" s="131">
        <f>H10*'F2-B Cost Recovery Charges'!Z10</f>
        <v>0</v>
      </c>
      <c r="N10" s="132">
        <f t="shared" ref="N10:N25" si="2">M10+L10</f>
        <v>862469111.99092197</v>
      </c>
      <c r="P10" s="128"/>
    </row>
    <row r="11" spans="1:16" x14ac:dyDescent="0.35">
      <c r="A11" s="329" t="s">
        <v>30</v>
      </c>
      <c r="B11" s="63">
        <v>1</v>
      </c>
      <c r="C11" s="333"/>
      <c r="D11" s="64">
        <f>D10+1</f>
        <v>2.5</v>
      </c>
      <c r="E11" s="64">
        <f t="shared" ref="E11:E25" si="3">E10+1</f>
        <v>2.5</v>
      </c>
      <c r="F11" s="108">
        <f>'F2-A Projected Available NWO'!L11</f>
        <v>165932285</v>
      </c>
      <c r="G11" s="139">
        <v>0</v>
      </c>
      <c r="H11" s="108">
        <f t="shared" si="0"/>
        <v>165932285</v>
      </c>
      <c r="I11" s="130">
        <f t="shared" ref="I11:I25" si="4">I10</f>
        <v>39</v>
      </c>
      <c r="J11" s="130">
        <f>(1+'F2-F Service Payment and NPV'!$I$35)^(E11-1)</f>
        <v>1.1379934094712501</v>
      </c>
      <c r="K11" s="108">
        <f>H11*'F2-C Electricity '!E11-'F2-C Electricity '!R11</f>
        <v>0</v>
      </c>
      <c r="L11" s="108">
        <f t="shared" si="1"/>
        <v>0</v>
      </c>
      <c r="M11" s="131">
        <f>H11*'F2-B Cost Recovery Charges'!Z11</f>
        <v>0</v>
      </c>
      <c r="N11" s="132">
        <f t="shared" si="2"/>
        <v>0</v>
      </c>
      <c r="P11" s="128"/>
    </row>
    <row r="12" spans="1:16" x14ac:dyDescent="0.35">
      <c r="A12" s="330"/>
      <c r="B12" s="63">
        <f t="shared" ref="B12:B25" si="5">B11+1</f>
        <v>2</v>
      </c>
      <c r="C12" s="333"/>
      <c r="D12" s="64">
        <f t="shared" ref="D12:D25" si="6">D11+1</f>
        <v>3.5</v>
      </c>
      <c r="E12" s="64">
        <f t="shared" si="3"/>
        <v>3.5</v>
      </c>
      <c r="F12" s="108">
        <f>'F2-A Projected Available NWO'!L12</f>
        <v>165932285</v>
      </c>
      <c r="G12" s="134">
        <f>G11</f>
        <v>0</v>
      </c>
      <c r="H12" s="108">
        <f t="shared" si="0"/>
        <v>165932285</v>
      </c>
      <c r="I12" s="130">
        <f t="shared" si="4"/>
        <v>39</v>
      </c>
      <c r="J12" s="130">
        <f>(1+'F2-F Service Payment and NPV'!$I$35)^(E12-1)</f>
        <v>1.2404128163236627</v>
      </c>
      <c r="K12" s="108">
        <f>H12*'F2-C Electricity '!E12-'F2-C Electricity '!R12</f>
        <v>0</v>
      </c>
      <c r="L12" s="108">
        <f t="shared" si="1"/>
        <v>0</v>
      </c>
      <c r="M12" s="131">
        <f>H12*'F2-B Cost Recovery Charges'!Z12</f>
        <v>0</v>
      </c>
      <c r="N12" s="132">
        <f t="shared" si="2"/>
        <v>0</v>
      </c>
      <c r="P12" s="128"/>
    </row>
    <row r="13" spans="1:16" x14ac:dyDescent="0.35">
      <c r="A13" s="330"/>
      <c r="B13" s="63">
        <f t="shared" si="5"/>
        <v>3</v>
      </c>
      <c r="C13" s="333"/>
      <c r="D13" s="64">
        <f t="shared" si="6"/>
        <v>4.5</v>
      </c>
      <c r="E13" s="64">
        <f t="shared" si="3"/>
        <v>4.5</v>
      </c>
      <c r="F13" s="108">
        <f>'F2-A Projected Available NWO'!L13</f>
        <v>165932285</v>
      </c>
      <c r="G13" s="134">
        <f t="shared" ref="G13:G25" si="7">G12</f>
        <v>0</v>
      </c>
      <c r="H13" s="108">
        <f t="shared" si="0"/>
        <v>165932285</v>
      </c>
      <c r="I13" s="130">
        <f t="shared" si="4"/>
        <v>39</v>
      </c>
      <c r="J13" s="130">
        <f>(1+'F2-F Service Payment and NPV'!$I$35)^(E13-1)</f>
        <v>1.3520499697927923</v>
      </c>
      <c r="K13" s="108">
        <f>H13*'F2-C Electricity '!E13-'F2-C Electricity '!R13</f>
        <v>0</v>
      </c>
      <c r="L13" s="108">
        <f t="shared" si="1"/>
        <v>0</v>
      </c>
      <c r="M13" s="131">
        <f>H13*'F2-B Cost Recovery Charges'!Z13</f>
        <v>0</v>
      </c>
      <c r="N13" s="132">
        <f t="shared" si="2"/>
        <v>0</v>
      </c>
      <c r="P13" s="128"/>
    </row>
    <row r="14" spans="1:16" x14ac:dyDescent="0.35">
      <c r="A14" s="330"/>
      <c r="B14" s="63">
        <f t="shared" si="5"/>
        <v>4</v>
      </c>
      <c r="C14" s="333"/>
      <c r="D14" s="64">
        <f t="shared" si="6"/>
        <v>5.5</v>
      </c>
      <c r="E14" s="64">
        <f t="shared" si="3"/>
        <v>5.5</v>
      </c>
      <c r="F14" s="108">
        <f>'F2-A Projected Available NWO'!L14</f>
        <v>165932285</v>
      </c>
      <c r="G14" s="134">
        <f t="shared" si="7"/>
        <v>0</v>
      </c>
      <c r="H14" s="108">
        <f t="shared" si="0"/>
        <v>165932285</v>
      </c>
      <c r="I14" s="130">
        <f t="shared" si="4"/>
        <v>39</v>
      </c>
      <c r="J14" s="130">
        <f>(1+'F2-F Service Payment and NPV'!$I$35)^(E14-1)</f>
        <v>1.4737344670741439</v>
      </c>
      <c r="K14" s="108">
        <f>H14*'F2-C Electricity '!E14-'F2-C Electricity '!R14</f>
        <v>0</v>
      </c>
      <c r="L14" s="108">
        <f t="shared" si="1"/>
        <v>0</v>
      </c>
      <c r="M14" s="131">
        <f>H14*'F2-B Cost Recovery Charges'!Z14</f>
        <v>0</v>
      </c>
      <c r="N14" s="132">
        <f t="shared" si="2"/>
        <v>0</v>
      </c>
      <c r="P14" s="128"/>
    </row>
    <row r="15" spans="1:16" x14ac:dyDescent="0.35">
      <c r="A15" s="330"/>
      <c r="B15" s="63">
        <f t="shared" si="5"/>
        <v>5</v>
      </c>
      <c r="C15" s="333"/>
      <c r="D15" s="64">
        <f t="shared" si="6"/>
        <v>6.5</v>
      </c>
      <c r="E15" s="64">
        <f t="shared" si="3"/>
        <v>6.5</v>
      </c>
      <c r="F15" s="108">
        <f>'F2-A Projected Available NWO'!L15</f>
        <v>165932285</v>
      </c>
      <c r="G15" s="134">
        <f t="shared" si="7"/>
        <v>0</v>
      </c>
      <c r="H15" s="108">
        <f t="shared" si="0"/>
        <v>165932285</v>
      </c>
      <c r="I15" s="130">
        <f t="shared" si="4"/>
        <v>39</v>
      </c>
      <c r="J15" s="130">
        <f>(1+'F2-F Service Payment and NPV'!$I$35)^(E15-1)</f>
        <v>1.606370569110817</v>
      </c>
      <c r="K15" s="108">
        <f>H15*'F2-C Electricity '!E15-'F2-C Electricity '!R15</f>
        <v>0</v>
      </c>
      <c r="L15" s="108">
        <f t="shared" si="1"/>
        <v>0</v>
      </c>
      <c r="M15" s="131">
        <f>H15*'F2-B Cost Recovery Charges'!Z15</f>
        <v>0</v>
      </c>
      <c r="N15" s="132">
        <f t="shared" si="2"/>
        <v>0</v>
      </c>
      <c r="P15" s="128"/>
    </row>
    <row r="16" spans="1:16" x14ac:dyDescent="0.35">
      <c r="A16" s="330"/>
      <c r="B16" s="63">
        <f t="shared" si="5"/>
        <v>6</v>
      </c>
      <c r="C16" s="333"/>
      <c r="D16" s="64">
        <f t="shared" si="6"/>
        <v>7.5</v>
      </c>
      <c r="E16" s="64">
        <f t="shared" si="3"/>
        <v>7.5</v>
      </c>
      <c r="F16" s="108">
        <f>'F2-A Projected Available NWO'!L16</f>
        <v>165932285</v>
      </c>
      <c r="G16" s="134">
        <f t="shared" si="7"/>
        <v>0</v>
      </c>
      <c r="H16" s="108">
        <f t="shared" si="0"/>
        <v>165932285</v>
      </c>
      <c r="I16" s="130">
        <f t="shared" si="4"/>
        <v>39</v>
      </c>
      <c r="J16" s="130">
        <f>(1+'F2-F Service Payment and NPV'!$I$35)^(E16-1)</f>
        <v>1.7509439203307908</v>
      </c>
      <c r="K16" s="108">
        <f>H16*'F2-C Electricity '!E16-'F2-C Electricity '!R16</f>
        <v>0</v>
      </c>
      <c r="L16" s="108">
        <f t="shared" si="1"/>
        <v>0</v>
      </c>
      <c r="M16" s="131">
        <f>H16*'F2-B Cost Recovery Charges'!Z16</f>
        <v>0</v>
      </c>
      <c r="N16" s="132">
        <f t="shared" si="2"/>
        <v>0</v>
      </c>
      <c r="P16" s="128"/>
    </row>
    <row r="17" spans="1:16" x14ac:dyDescent="0.35">
      <c r="A17" s="330"/>
      <c r="B17" s="63">
        <f t="shared" si="5"/>
        <v>7</v>
      </c>
      <c r="C17" s="333"/>
      <c r="D17" s="64">
        <f t="shared" si="6"/>
        <v>8.5</v>
      </c>
      <c r="E17" s="64">
        <f t="shared" si="3"/>
        <v>8.5</v>
      </c>
      <c r="F17" s="108">
        <f>'F2-A Projected Available NWO'!L17</f>
        <v>165932285</v>
      </c>
      <c r="G17" s="134">
        <f t="shared" si="7"/>
        <v>0</v>
      </c>
      <c r="H17" s="108">
        <f t="shared" si="0"/>
        <v>165932285</v>
      </c>
      <c r="I17" s="130">
        <f t="shared" si="4"/>
        <v>39</v>
      </c>
      <c r="J17" s="130">
        <f>(1+'F2-F Service Payment and NPV'!$I$35)^(E17-1)</f>
        <v>1.9085288731605621</v>
      </c>
      <c r="K17" s="108">
        <f>H17*'F2-C Electricity '!E17-'F2-C Electricity '!R17</f>
        <v>0</v>
      </c>
      <c r="L17" s="108">
        <f t="shared" si="1"/>
        <v>0</v>
      </c>
      <c r="M17" s="131">
        <f>H17*'F2-B Cost Recovery Charges'!Z17</f>
        <v>0</v>
      </c>
      <c r="N17" s="132">
        <f t="shared" si="2"/>
        <v>0</v>
      </c>
      <c r="P17" s="128"/>
    </row>
    <row r="18" spans="1:16" x14ac:dyDescent="0.35">
      <c r="A18" s="330"/>
      <c r="B18" s="63">
        <f t="shared" si="5"/>
        <v>8</v>
      </c>
      <c r="C18" s="333"/>
      <c r="D18" s="64">
        <f t="shared" si="6"/>
        <v>9.5</v>
      </c>
      <c r="E18" s="64">
        <f t="shared" si="3"/>
        <v>9.5</v>
      </c>
      <c r="F18" s="108">
        <f>'F2-A Projected Available NWO'!L18</f>
        <v>165932285</v>
      </c>
      <c r="G18" s="134">
        <f t="shared" si="7"/>
        <v>0</v>
      </c>
      <c r="H18" s="108">
        <f t="shared" si="0"/>
        <v>165932285</v>
      </c>
      <c r="I18" s="130">
        <f t="shared" si="4"/>
        <v>39</v>
      </c>
      <c r="J18" s="130">
        <f>(1+'F2-F Service Payment and NPV'!$I$35)^(E18-1)</f>
        <v>2.0802964717450125</v>
      </c>
      <c r="K18" s="108">
        <f>H18*'F2-C Electricity '!E18-'F2-C Electricity '!R18</f>
        <v>0</v>
      </c>
      <c r="L18" s="108">
        <f t="shared" si="1"/>
        <v>0</v>
      </c>
      <c r="M18" s="131">
        <f>H18*'F2-B Cost Recovery Charges'!Z18</f>
        <v>0</v>
      </c>
      <c r="N18" s="132">
        <f t="shared" si="2"/>
        <v>0</v>
      </c>
      <c r="P18" s="128"/>
    </row>
    <row r="19" spans="1:16" x14ac:dyDescent="0.35">
      <c r="A19" s="330"/>
      <c r="B19" s="63">
        <f t="shared" si="5"/>
        <v>9</v>
      </c>
      <c r="C19" s="333"/>
      <c r="D19" s="64">
        <f t="shared" si="6"/>
        <v>10.5</v>
      </c>
      <c r="E19" s="64">
        <f t="shared" si="3"/>
        <v>10.5</v>
      </c>
      <c r="F19" s="108">
        <f>'F2-A Projected Available NWO'!L19</f>
        <v>165932285</v>
      </c>
      <c r="G19" s="134">
        <f t="shared" si="7"/>
        <v>0</v>
      </c>
      <c r="H19" s="108">
        <f t="shared" si="0"/>
        <v>165932285</v>
      </c>
      <c r="I19" s="130">
        <f t="shared" si="4"/>
        <v>39</v>
      </c>
      <c r="J19" s="130">
        <f>(1+'F2-F Service Payment and NPV'!$I$35)^(E19-1)</f>
        <v>2.2675231542020637</v>
      </c>
      <c r="K19" s="108">
        <f>H19*'F2-C Electricity '!E19-'F2-C Electricity '!R19</f>
        <v>0</v>
      </c>
      <c r="L19" s="108">
        <f t="shared" si="1"/>
        <v>0</v>
      </c>
      <c r="M19" s="131">
        <f>H19*'F2-B Cost Recovery Charges'!Z19</f>
        <v>0</v>
      </c>
      <c r="N19" s="132">
        <f t="shared" si="2"/>
        <v>0</v>
      </c>
      <c r="P19" s="128"/>
    </row>
    <row r="20" spans="1:16" x14ac:dyDescent="0.35">
      <c r="A20" s="330"/>
      <c r="B20" s="63">
        <f t="shared" si="5"/>
        <v>10</v>
      </c>
      <c r="C20" s="333"/>
      <c r="D20" s="64">
        <f t="shared" si="6"/>
        <v>11.5</v>
      </c>
      <c r="E20" s="64">
        <f t="shared" si="3"/>
        <v>11.5</v>
      </c>
      <c r="F20" s="108">
        <f>'F2-A Projected Available NWO'!L20</f>
        <v>165932285</v>
      </c>
      <c r="G20" s="134">
        <f t="shared" si="7"/>
        <v>0</v>
      </c>
      <c r="H20" s="108">
        <f t="shared" si="0"/>
        <v>165932285</v>
      </c>
      <c r="I20" s="130">
        <f t="shared" si="4"/>
        <v>39</v>
      </c>
      <c r="J20" s="130">
        <f>(1+'F2-F Service Payment and NPV'!$I$35)^(E20-1)</f>
        <v>2.4716002380802498</v>
      </c>
      <c r="K20" s="108">
        <f>H20*'F2-C Electricity '!E20-'F2-C Electricity '!R20</f>
        <v>0</v>
      </c>
      <c r="L20" s="108">
        <f t="shared" si="1"/>
        <v>0</v>
      </c>
      <c r="M20" s="131">
        <f>H20*'F2-B Cost Recovery Charges'!Z20</f>
        <v>0</v>
      </c>
      <c r="N20" s="132">
        <f t="shared" si="2"/>
        <v>0</v>
      </c>
      <c r="P20" s="128"/>
    </row>
    <row r="21" spans="1:16" x14ac:dyDescent="0.35">
      <c r="A21" s="330"/>
      <c r="B21" s="63">
        <f t="shared" si="5"/>
        <v>11</v>
      </c>
      <c r="C21" s="333"/>
      <c r="D21" s="64">
        <f t="shared" si="6"/>
        <v>12.5</v>
      </c>
      <c r="E21" s="64">
        <f t="shared" si="3"/>
        <v>12.5</v>
      </c>
      <c r="F21" s="108">
        <f>'F2-A Projected Available NWO'!L21</f>
        <v>165932285</v>
      </c>
      <c r="G21" s="134">
        <f t="shared" si="7"/>
        <v>0</v>
      </c>
      <c r="H21" s="108">
        <f t="shared" si="0"/>
        <v>165932285</v>
      </c>
      <c r="I21" s="130">
        <f t="shared" si="4"/>
        <v>39</v>
      </c>
      <c r="J21" s="130">
        <f>(1+'F2-F Service Payment and NPV'!$I$35)^(E21-1)</f>
        <v>2.6940442595074727</v>
      </c>
      <c r="K21" s="108">
        <f>H21*'F2-C Electricity '!E21-'F2-C Electricity '!R21</f>
        <v>0</v>
      </c>
      <c r="L21" s="108">
        <f t="shared" si="1"/>
        <v>0</v>
      </c>
      <c r="M21" s="131">
        <f>H21*'F2-B Cost Recovery Charges'!Z21</f>
        <v>0</v>
      </c>
      <c r="N21" s="132">
        <f t="shared" si="2"/>
        <v>0</v>
      </c>
      <c r="P21" s="128"/>
    </row>
    <row r="22" spans="1:16" x14ac:dyDescent="0.35">
      <c r="A22" s="330"/>
      <c r="B22" s="63">
        <f t="shared" si="5"/>
        <v>12</v>
      </c>
      <c r="C22" s="333"/>
      <c r="D22" s="64">
        <f t="shared" si="6"/>
        <v>13.5</v>
      </c>
      <c r="E22" s="64">
        <f t="shared" si="3"/>
        <v>13.5</v>
      </c>
      <c r="F22" s="108">
        <f>'F2-A Projected Available NWO'!L22</f>
        <v>165932285</v>
      </c>
      <c r="G22" s="134">
        <f t="shared" si="7"/>
        <v>0</v>
      </c>
      <c r="H22" s="108">
        <f t="shared" si="0"/>
        <v>165932285</v>
      </c>
      <c r="I22" s="130">
        <f t="shared" si="4"/>
        <v>39</v>
      </c>
      <c r="J22" s="130">
        <f>(1+'F2-F Service Payment and NPV'!$I$35)^(E22-1)</f>
        <v>2.9365082428631455</v>
      </c>
      <c r="K22" s="108">
        <f>H22*'F2-C Electricity '!E22-'F2-C Electricity '!R22</f>
        <v>0</v>
      </c>
      <c r="L22" s="108">
        <f t="shared" si="1"/>
        <v>0</v>
      </c>
      <c r="M22" s="131">
        <f>H22*'F2-B Cost Recovery Charges'!Z22</f>
        <v>0</v>
      </c>
      <c r="N22" s="132">
        <f t="shared" si="2"/>
        <v>0</v>
      </c>
      <c r="P22" s="128"/>
    </row>
    <row r="23" spans="1:16" x14ac:dyDescent="0.35">
      <c r="A23" s="330"/>
      <c r="B23" s="63">
        <f t="shared" si="5"/>
        <v>13</v>
      </c>
      <c r="C23" s="333"/>
      <c r="D23" s="64">
        <f t="shared" si="6"/>
        <v>14.5</v>
      </c>
      <c r="E23" s="64">
        <f t="shared" si="3"/>
        <v>14.5</v>
      </c>
      <c r="F23" s="108">
        <f>'F2-A Projected Available NWO'!L23</f>
        <v>165932285</v>
      </c>
      <c r="G23" s="134">
        <f t="shared" si="7"/>
        <v>0</v>
      </c>
      <c r="H23" s="108">
        <f t="shared" si="0"/>
        <v>165932285</v>
      </c>
      <c r="I23" s="130">
        <f t="shared" si="4"/>
        <v>39</v>
      </c>
      <c r="J23" s="130">
        <f>(1+'F2-F Service Payment and NPV'!$I$35)^(E23-1)</f>
        <v>3.2007939847208284</v>
      </c>
      <c r="K23" s="108">
        <f>H23*'F2-C Electricity '!E23-'F2-C Electricity '!R23</f>
        <v>0</v>
      </c>
      <c r="L23" s="108">
        <f t="shared" si="1"/>
        <v>0</v>
      </c>
      <c r="M23" s="131">
        <f>H23*'F2-B Cost Recovery Charges'!Z23</f>
        <v>0</v>
      </c>
      <c r="N23" s="132">
        <f t="shared" si="2"/>
        <v>0</v>
      </c>
      <c r="P23" s="128"/>
    </row>
    <row r="24" spans="1:16" x14ac:dyDescent="0.35">
      <c r="A24" s="330"/>
      <c r="B24" s="63">
        <f t="shared" si="5"/>
        <v>14</v>
      </c>
      <c r="C24" s="333"/>
      <c r="D24" s="64">
        <f t="shared" si="6"/>
        <v>15.5</v>
      </c>
      <c r="E24" s="64">
        <f t="shared" si="3"/>
        <v>15.5</v>
      </c>
      <c r="F24" s="108">
        <f>'F2-A Projected Available NWO'!L24</f>
        <v>165932285</v>
      </c>
      <c r="G24" s="134">
        <f t="shared" si="7"/>
        <v>0</v>
      </c>
      <c r="H24" s="108">
        <f t="shared" si="0"/>
        <v>165932285</v>
      </c>
      <c r="I24" s="130">
        <f t="shared" si="4"/>
        <v>39</v>
      </c>
      <c r="J24" s="130">
        <f>(1+'F2-F Service Payment and NPV'!$I$35)^(E24-1)</f>
        <v>3.4888654433457038</v>
      </c>
      <c r="K24" s="108">
        <f>H24*'F2-C Electricity '!E24-'F2-C Electricity '!R24</f>
        <v>0</v>
      </c>
      <c r="L24" s="108">
        <f t="shared" si="1"/>
        <v>0</v>
      </c>
      <c r="M24" s="131">
        <f>H24*'F2-B Cost Recovery Charges'!Z24</f>
        <v>0</v>
      </c>
      <c r="N24" s="132">
        <f t="shared" si="2"/>
        <v>0</v>
      </c>
      <c r="P24" s="128"/>
    </row>
    <row r="25" spans="1:16" ht="15" thickBot="1" x14ac:dyDescent="0.4">
      <c r="A25" s="331"/>
      <c r="B25" s="94">
        <f t="shared" si="5"/>
        <v>15</v>
      </c>
      <c r="C25" s="334"/>
      <c r="D25" s="70">
        <f t="shared" si="6"/>
        <v>16.5</v>
      </c>
      <c r="E25" s="69">
        <f t="shared" si="3"/>
        <v>16.5</v>
      </c>
      <c r="F25" s="114">
        <f>'F2-A Projected Available NWO'!L25</f>
        <v>165932285</v>
      </c>
      <c r="G25" s="135">
        <f t="shared" si="7"/>
        <v>0</v>
      </c>
      <c r="H25" s="114">
        <f t="shared" si="0"/>
        <v>165932285</v>
      </c>
      <c r="I25" s="136">
        <f t="shared" si="4"/>
        <v>39</v>
      </c>
      <c r="J25" s="136">
        <f>(1+'F2-F Service Payment and NPV'!$I$35)^(E25-1)</f>
        <v>3.8028633332468171</v>
      </c>
      <c r="K25" s="114">
        <f>H25*'F2-C Electricity '!E25-'F2-C Electricity '!R25</f>
        <v>0</v>
      </c>
      <c r="L25" s="114">
        <f t="shared" si="1"/>
        <v>0</v>
      </c>
      <c r="M25" s="137">
        <f>H25*'F2-B Cost Recovery Charges'!Z25</f>
        <v>0</v>
      </c>
      <c r="N25" s="138">
        <f t="shared" si="2"/>
        <v>0</v>
      </c>
      <c r="P25" s="128"/>
    </row>
    <row r="26" spans="1:16" s="36" customFormat="1" x14ac:dyDescent="0.35"/>
    <row r="27" spans="1:16" s="36" customFormat="1" x14ac:dyDescent="0.35">
      <c r="C27" s="40" t="s">
        <v>274</v>
      </c>
    </row>
    <row r="28" spans="1:16" s="36" customFormat="1" ht="15" thickBot="1" x14ac:dyDescent="0.4"/>
    <row r="29" spans="1:16" s="36" customFormat="1" ht="15" thickBot="1" x14ac:dyDescent="0.4">
      <c r="C29" s="74"/>
      <c r="D29" s="40" t="s">
        <v>9</v>
      </c>
      <c r="K29" s="40"/>
    </row>
    <row r="30" spans="1:16" s="36" customFormat="1" ht="15" thickBot="1" x14ac:dyDescent="0.4">
      <c r="C30" s="75"/>
      <c r="D30" s="40" t="s">
        <v>110</v>
      </c>
    </row>
    <row r="31" spans="1:16" s="36" customFormat="1" ht="15" thickBot="1" x14ac:dyDescent="0.4">
      <c r="C31" s="76"/>
      <c r="D31" s="40" t="s">
        <v>10</v>
      </c>
    </row>
    <row r="32" spans="1:16" s="36" customFormat="1" x14ac:dyDescent="0.35"/>
    <row r="33" s="36" customFormat="1" x14ac:dyDescent="0.35"/>
    <row r="34" s="36" customFormat="1" x14ac:dyDescent="0.35"/>
    <row r="35" s="36" customFormat="1" x14ac:dyDescent="0.35"/>
    <row r="36" s="36" customFormat="1" x14ac:dyDescent="0.35"/>
    <row r="37" s="36" customFormat="1" x14ac:dyDescent="0.35"/>
    <row r="38" s="36" customFormat="1" x14ac:dyDescent="0.35"/>
    <row r="39" s="36" customFormat="1" x14ac:dyDescent="0.35"/>
    <row r="40" s="36" customFormat="1" x14ac:dyDescent="0.35"/>
    <row r="41" s="36" customFormat="1" x14ac:dyDescent="0.35"/>
    <row r="42" s="36" customFormat="1" x14ac:dyDescent="0.35"/>
    <row r="43" s="36" customFormat="1" x14ac:dyDescent="0.35"/>
    <row r="44" s="36" customFormat="1" x14ac:dyDescent="0.35"/>
    <row r="45" s="36" customFormat="1" x14ac:dyDescent="0.35"/>
    <row r="46" s="36" customFormat="1" x14ac:dyDescent="0.35"/>
  </sheetData>
  <sheetProtection algorithmName="SHA-512" hashValue="ANuRXeyVgZ9K9EOgHliWfUvAj/481bmRKLwhk9ufEtE4kmAGoS6UlvM3189v2Ay+eHxktgxy2ODo586YPkCVHw==" saltValue="TGiUdA9Gq1/2p5iE4b82lw==" spinCount="100000" sheet="1" objects="1" scenarios="1"/>
  <mergeCells count="6">
    <mergeCell ref="A9:A10"/>
    <mergeCell ref="A11:A25"/>
    <mergeCell ref="B2:N2"/>
    <mergeCell ref="B5:B7"/>
    <mergeCell ref="E5:E7"/>
    <mergeCell ref="C9:C25"/>
  </mergeCells>
  <pageMargins left="0.7" right="0.7" top="0.75" bottom="0.75" header="0.3" footer="0.3"/>
  <pageSetup orientation="portrait" r:id="rId1"/>
  <ignoredErrors>
    <ignoredError sqref="H10:H2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2DC1-112B-4F98-9340-D1A55EA51A03}">
  <dimension ref="A1:AQ57"/>
  <sheetViews>
    <sheetView showGridLines="0" topLeftCell="B1" zoomScale="70" zoomScaleNormal="70" workbookViewId="0">
      <selection activeCell="K46" sqref="K46"/>
    </sheetView>
  </sheetViews>
  <sheetFormatPr defaultRowHeight="14.5" x14ac:dyDescent="0.35"/>
  <cols>
    <col min="1" max="1" width="9.1796875" style="36"/>
    <col min="2" max="5" width="13" style="42" customWidth="1"/>
    <col min="6" max="6" width="19.7265625" style="42" customWidth="1"/>
    <col min="7" max="7" width="18.1796875" style="42" customWidth="1"/>
    <col min="8" max="8" width="22.1796875" style="42" customWidth="1"/>
    <col min="9" max="9" width="20.1796875" style="42" customWidth="1"/>
    <col min="10" max="10" width="23.54296875" style="42" customWidth="1"/>
    <col min="11" max="11" width="17.453125" style="42" customWidth="1"/>
    <col min="12" max="12" width="24.54296875" style="42" customWidth="1"/>
    <col min="13" max="13" width="12.26953125" style="42" customWidth="1"/>
    <col min="14" max="14" width="15.453125" style="42" bestFit="1" customWidth="1"/>
    <col min="15" max="15" width="14.54296875" style="42" bestFit="1" customWidth="1"/>
    <col min="16" max="16" width="14.81640625" style="42" customWidth="1"/>
    <col min="17" max="17" width="8.7265625" style="42" bestFit="1" customWidth="1"/>
    <col min="18" max="18" width="17.453125" style="42" customWidth="1"/>
    <col min="19" max="43" width="9.1796875" style="36"/>
    <col min="44" max="16384" width="8.7265625" style="42"/>
  </cols>
  <sheetData>
    <row r="1" spans="1:43" s="36" customFormat="1" x14ac:dyDescent="0.35"/>
    <row r="2" spans="1:43" s="36" customFormat="1" x14ac:dyDescent="0.35"/>
    <row r="3" spans="1:43" s="36" customFormat="1" ht="18.5" x14ac:dyDescent="0.45">
      <c r="B3" s="359" t="s">
        <v>104</v>
      </c>
      <c r="C3" s="359"/>
      <c r="D3" s="359"/>
      <c r="E3" s="359"/>
      <c r="F3" s="359"/>
      <c r="G3" s="359"/>
      <c r="H3" s="359"/>
      <c r="I3" s="359"/>
      <c r="J3" s="359"/>
      <c r="K3" s="359"/>
      <c r="L3" s="140"/>
      <c r="M3" s="140"/>
      <c r="N3" s="140"/>
      <c r="O3" s="140"/>
      <c r="P3" s="140"/>
      <c r="Q3" s="140"/>
      <c r="R3" s="140"/>
    </row>
    <row r="4" spans="1:43" s="36" customFormat="1" x14ac:dyDescent="0.35"/>
    <row r="5" spans="1:43" s="36" customFormat="1" ht="15" thickBot="1" x14ac:dyDescent="0.4"/>
    <row r="6" spans="1:43" ht="30" customHeight="1" x14ac:dyDescent="0.35">
      <c r="B6" s="141"/>
      <c r="C6" s="142"/>
      <c r="D6" s="142"/>
      <c r="E6" s="142"/>
      <c r="F6" s="143" t="s">
        <v>89</v>
      </c>
      <c r="G6" s="143" t="s">
        <v>107</v>
      </c>
      <c r="H6" s="143" t="s">
        <v>100</v>
      </c>
      <c r="I6" s="143" t="s">
        <v>102</v>
      </c>
      <c r="J6" s="143" t="s">
        <v>106</v>
      </c>
      <c r="K6" s="143" t="s">
        <v>11</v>
      </c>
      <c r="L6" s="144" t="s">
        <v>122</v>
      </c>
      <c r="N6" s="145"/>
      <c r="O6" s="146"/>
      <c r="P6" s="147"/>
      <c r="Q6" s="147"/>
      <c r="R6" s="36"/>
      <c r="AK6" s="42"/>
      <c r="AL6" s="42"/>
      <c r="AM6" s="42"/>
      <c r="AN6" s="42"/>
      <c r="AO6" s="42"/>
      <c r="AP6" s="42"/>
      <c r="AQ6" s="42"/>
    </row>
    <row r="7" spans="1:43" x14ac:dyDescent="0.35">
      <c r="B7" s="367" t="s">
        <v>0</v>
      </c>
      <c r="C7" s="148"/>
      <c r="D7" s="366" t="s">
        <v>0</v>
      </c>
      <c r="E7" s="366" t="s">
        <v>118</v>
      </c>
      <c r="F7" s="149"/>
      <c r="G7" s="149"/>
      <c r="H7" s="149"/>
      <c r="I7" s="149"/>
      <c r="J7" s="149"/>
      <c r="K7" s="149"/>
      <c r="L7" s="150"/>
      <c r="M7" s="147"/>
      <c r="N7" s="147"/>
      <c r="O7" s="147"/>
      <c r="P7" s="147"/>
      <c r="Q7" s="147"/>
      <c r="R7" s="36"/>
      <c r="AK7" s="42"/>
      <c r="AL7" s="42"/>
      <c r="AM7" s="42"/>
      <c r="AN7" s="42"/>
      <c r="AO7" s="42"/>
      <c r="AP7" s="42"/>
      <c r="AQ7" s="42"/>
    </row>
    <row r="8" spans="1:43" x14ac:dyDescent="0.35">
      <c r="B8" s="367"/>
      <c r="C8" s="148"/>
      <c r="D8" s="368"/>
      <c r="E8" s="366"/>
      <c r="F8" s="149" t="s">
        <v>90</v>
      </c>
      <c r="G8" s="151" t="s">
        <v>90</v>
      </c>
      <c r="H8" s="151" t="s">
        <v>90</v>
      </c>
      <c r="I8" s="151" t="s">
        <v>90</v>
      </c>
      <c r="J8" s="149" t="s">
        <v>90</v>
      </c>
      <c r="K8" s="149"/>
      <c r="L8" s="150" t="s">
        <v>90</v>
      </c>
      <c r="M8" s="147"/>
      <c r="N8" s="147"/>
      <c r="O8" s="147"/>
      <c r="P8" s="147"/>
      <c r="Q8" s="147"/>
      <c r="R8" s="36"/>
      <c r="AK8" s="42"/>
      <c r="AL8" s="42"/>
      <c r="AM8" s="42"/>
      <c r="AN8" s="42"/>
      <c r="AO8" s="42"/>
      <c r="AP8" s="42"/>
      <c r="AQ8" s="42"/>
    </row>
    <row r="9" spans="1:43" x14ac:dyDescent="0.35">
      <c r="B9" s="367"/>
      <c r="C9" s="148"/>
      <c r="D9" s="368"/>
      <c r="E9" s="366"/>
      <c r="F9" s="152" t="s">
        <v>87</v>
      </c>
      <c r="G9" s="152" t="s">
        <v>88</v>
      </c>
      <c r="H9" s="152" t="s">
        <v>101</v>
      </c>
      <c r="I9" s="152" t="s">
        <v>103</v>
      </c>
      <c r="J9" s="151" t="s">
        <v>105</v>
      </c>
      <c r="K9" s="151" t="s">
        <v>1</v>
      </c>
      <c r="L9" s="153" t="s">
        <v>123</v>
      </c>
      <c r="M9" s="36"/>
      <c r="N9" s="36"/>
      <c r="O9" s="36"/>
      <c r="P9" s="36"/>
      <c r="Q9" s="36"/>
      <c r="R9" s="36"/>
      <c r="AK9" s="42"/>
      <c r="AL9" s="42"/>
      <c r="AM9" s="42"/>
      <c r="AN9" s="42"/>
      <c r="AO9" s="42"/>
      <c r="AP9" s="42"/>
      <c r="AQ9" s="42"/>
    </row>
    <row r="10" spans="1:43" ht="15" thickBot="1" x14ac:dyDescent="0.4">
      <c r="B10" s="154"/>
      <c r="C10" s="155"/>
      <c r="D10" s="155"/>
      <c r="E10" s="156"/>
      <c r="F10" s="155"/>
      <c r="G10" s="155"/>
      <c r="H10" s="155"/>
      <c r="I10" s="155"/>
      <c r="J10" s="155"/>
      <c r="K10" s="155"/>
      <c r="L10" s="157"/>
      <c r="M10" s="36"/>
      <c r="N10" s="36"/>
      <c r="O10" s="36"/>
      <c r="P10" s="36"/>
      <c r="Q10" s="36"/>
      <c r="R10" s="36"/>
      <c r="AK10" s="42"/>
      <c r="AL10" s="42"/>
      <c r="AM10" s="42"/>
      <c r="AN10" s="42"/>
      <c r="AO10" s="42"/>
      <c r="AP10" s="42"/>
      <c r="AQ10" s="42"/>
    </row>
    <row r="11" spans="1:43" x14ac:dyDescent="0.35">
      <c r="A11" s="340" t="s">
        <v>29</v>
      </c>
      <c r="B11" s="158">
        <v>1</v>
      </c>
      <c r="C11" s="332" t="s">
        <v>208</v>
      </c>
      <c r="D11" s="159">
        <v>1</v>
      </c>
      <c r="E11" s="159">
        <v>1</v>
      </c>
      <c r="F11" s="105"/>
      <c r="G11" s="105"/>
      <c r="H11" s="160">
        <f>'F2-E Output Payment (OP)'!L9</f>
        <v>1652191171.3125</v>
      </c>
      <c r="I11" s="160">
        <f>'F2-E Output Payment (OP)'!M9</f>
        <v>0</v>
      </c>
      <c r="J11" s="160">
        <f t="shared" ref="J11:J27" si="0">SUM(F11:I11)</f>
        <v>1652191171.3125</v>
      </c>
      <c r="K11" s="161">
        <f t="shared" ref="K11:K27" si="1">1/(1+$I$37)^(E11-1)</f>
        <v>1</v>
      </c>
      <c r="L11" s="162">
        <f>J11*K11</f>
        <v>1652191171.3125</v>
      </c>
      <c r="M11" s="163"/>
      <c r="N11" s="36"/>
      <c r="O11" s="36"/>
      <c r="P11" s="36"/>
      <c r="Q11" s="36"/>
      <c r="R11" s="36"/>
      <c r="AK11" s="42"/>
      <c r="AL11" s="42"/>
      <c r="AM11" s="42"/>
      <c r="AN11" s="42"/>
      <c r="AO11" s="42"/>
      <c r="AP11" s="42"/>
      <c r="AQ11" s="42"/>
    </row>
    <row r="12" spans="1:43" ht="15" thickBot="1" x14ac:dyDescent="0.4">
      <c r="A12" s="341"/>
      <c r="B12" s="158">
        <v>1.5</v>
      </c>
      <c r="C12" s="333"/>
      <c r="D12" s="159">
        <f>1.5</f>
        <v>1.5</v>
      </c>
      <c r="E12" s="159">
        <v>1.5</v>
      </c>
      <c r="F12" s="105"/>
      <c r="G12" s="105"/>
      <c r="H12" s="160">
        <f>'F2-E Output Payment (OP)'!L10</f>
        <v>862469111.99092197</v>
      </c>
      <c r="I12" s="160">
        <f>'F2-E Output Payment (OP)'!M10</f>
        <v>0</v>
      </c>
      <c r="J12" s="160">
        <f t="shared" si="0"/>
        <v>862469111.99092197</v>
      </c>
      <c r="K12" s="161">
        <f t="shared" si="1"/>
        <v>0.95346258924559224</v>
      </c>
      <c r="L12" s="162">
        <f t="shared" ref="L12:L27" si="2">J12*K12</f>
        <v>822332032.66321111</v>
      </c>
      <c r="M12" s="163"/>
      <c r="N12" s="36"/>
      <c r="O12" s="36"/>
      <c r="P12" s="36"/>
      <c r="Q12" s="36"/>
      <c r="R12" s="36"/>
      <c r="AK12" s="42"/>
      <c r="AL12" s="42"/>
      <c r="AM12" s="42"/>
      <c r="AN12" s="42"/>
      <c r="AO12" s="42"/>
      <c r="AP12" s="42"/>
      <c r="AQ12" s="42"/>
    </row>
    <row r="13" spans="1:43" x14ac:dyDescent="0.35">
      <c r="A13" s="342" t="s">
        <v>30</v>
      </c>
      <c r="B13" s="158">
        <f t="shared" ref="B13:B27" si="3">B12+1</f>
        <v>2.5</v>
      </c>
      <c r="C13" s="333"/>
      <c r="D13" s="159">
        <f>D12+1</f>
        <v>2.5</v>
      </c>
      <c r="E13" s="159">
        <f t="shared" ref="E13:E27" si="4">E12+1</f>
        <v>2.5</v>
      </c>
      <c r="F13" s="160">
        <f>'F2-D Availability Payment (AP)'!P11</f>
        <v>0</v>
      </c>
      <c r="G13" s="160">
        <f>'F2-D Availability Payment (AP)'!Q11</f>
        <v>0</v>
      </c>
      <c r="H13" s="160">
        <f>'F2-E Output Payment (OP)'!L11</f>
        <v>0</v>
      </c>
      <c r="I13" s="160">
        <f>'F2-E Output Payment (OP)'!M11</f>
        <v>0</v>
      </c>
      <c r="J13" s="160">
        <f t="shared" si="0"/>
        <v>0</v>
      </c>
      <c r="K13" s="164">
        <f t="shared" si="1"/>
        <v>0.86678417204144742</v>
      </c>
      <c r="L13" s="162">
        <f t="shared" si="2"/>
        <v>0</v>
      </c>
      <c r="M13" s="163"/>
      <c r="N13" s="36"/>
      <c r="O13" s="36"/>
      <c r="P13" s="36"/>
      <c r="Q13" s="36"/>
      <c r="R13" s="36"/>
      <c r="AK13" s="42"/>
      <c r="AL13" s="42"/>
      <c r="AM13" s="42"/>
      <c r="AN13" s="42"/>
      <c r="AO13" s="42"/>
      <c r="AP13" s="42"/>
      <c r="AQ13" s="42"/>
    </row>
    <row r="14" spans="1:43" x14ac:dyDescent="0.35">
      <c r="A14" s="343"/>
      <c r="B14" s="158">
        <f t="shared" si="3"/>
        <v>3.5</v>
      </c>
      <c r="C14" s="333"/>
      <c r="D14" s="159">
        <f t="shared" ref="D14:D27" si="5">D13+1</f>
        <v>3.5</v>
      </c>
      <c r="E14" s="159">
        <f t="shared" si="4"/>
        <v>3.5</v>
      </c>
      <c r="F14" s="160">
        <f>'F2-D Availability Payment (AP)'!P12</f>
        <v>0</v>
      </c>
      <c r="G14" s="160">
        <f>'F2-D Availability Payment (AP)'!Q12</f>
        <v>0</v>
      </c>
      <c r="H14" s="160">
        <f>'F2-E Output Payment (OP)'!L12</f>
        <v>0</v>
      </c>
      <c r="I14" s="160">
        <f>'F2-E Output Payment (OP)'!M12</f>
        <v>0</v>
      </c>
      <c r="J14" s="160">
        <f t="shared" si="0"/>
        <v>0</v>
      </c>
      <c r="K14" s="161">
        <f t="shared" si="1"/>
        <v>0.78798561094677033</v>
      </c>
      <c r="L14" s="162">
        <f t="shared" si="2"/>
        <v>0</v>
      </c>
      <c r="M14" s="163"/>
      <c r="N14" s="36"/>
      <c r="O14" s="36"/>
      <c r="P14" s="36"/>
      <c r="Q14" s="36"/>
      <c r="R14" s="36"/>
      <c r="AK14" s="42"/>
      <c r="AL14" s="42"/>
      <c r="AM14" s="42"/>
      <c r="AN14" s="42"/>
      <c r="AO14" s="42"/>
      <c r="AP14" s="42"/>
      <c r="AQ14" s="42"/>
    </row>
    <row r="15" spans="1:43" x14ac:dyDescent="0.35">
      <c r="A15" s="343"/>
      <c r="B15" s="158">
        <f t="shared" si="3"/>
        <v>4.5</v>
      </c>
      <c r="C15" s="333"/>
      <c r="D15" s="159">
        <f t="shared" si="5"/>
        <v>4.5</v>
      </c>
      <c r="E15" s="159">
        <f t="shared" si="4"/>
        <v>4.5</v>
      </c>
      <c r="F15" s="160">
        <f>'F2-D Availability Payment (AP)'!P13</f>
        <v>0</v>
      </c>
      <c r="G15" s="160">
        <f>'F2-D Availability Payment (AP)'!Q13</f>
        <v>0</v>
      </c>
      <c r="H15" s="160">
        <f>'F2-E Output Payment (OP)'!L13</f>
        <v>0</v>
      </c>
      <c r="I15" s="160">
        <f>'F2-E Output Payment (OP)'!M13</f>
        <v>0</v>
      </c>
      <c r="J15" s="160">
        <f t="shared" si="0"/>
        <v>0</v>
      </c>
      <c r="K15" s="161">
        <f t="shared" si="1"/>
        <v>0.71635055540615489</v>
      </c>
      <c r="L15" s="162">
        <f t="shared" si="2"/>
        <v>0</v>
      </c>
      <c r="M15" s="163"/>
      <c r="N15" s="36"/>
      <c r="O15" s="36"/>
      <c r="P15" s="36"/>
      <c r="Q15" s="36"/>
      <c r="R15" s="36"/>
      <c r="AK15" s="42"/>
      <c r="AL15" s="42"/>
      <c r="AM15" s="42"/>
      <c r="AN15" s="42"/>
      <c r="AO15" s="42"/>
      <c r="AP15" s="42"/>
      <c r="AQ15" s="42"/>
    </row>
    <row r="16" spans="1:43" x14ac:dyDescent="0.35">
      <c r="A16" s="343"/>
      <c r="B16" s="158">
        <f t="shared" si="3"/>
        <v>5.5</v>
      </c>
      <c r="C16" s="333"/>
      <c r="D16" s="159">
        <f t="shared" si="5"/>
        <v>5.5</v>
      </c>
      <c r="E16" s="159">
        <f t="shared" si="4"/>
        <v>5.5</v>
      </c>
      <c r="F16" s="160">
        <f>'F2-D Availability Payment (AP)'!P14</f>
        <v>0</v>
      </c>
      <c r="G16" s="160">
        <f>'F2-D Availability Payment (AP)'!Q14</f>
        <v>0</v>
      </c>
      <c r="H16" s="160">
        <f>'F2-E Output Payment (OP)'!L14</f>
        <v>0</v>
      </c>
      <c r="I16" s="160">
        <f>'F2-E Output Payment (OP)'!M14</f>
        <v>0</v>
      </c>
      <c r="J16" s="160">
        <f t="shared" si="0"/>
        <v>0</v>
      </c>
      <c r="K16" s="161">
        <f t="shared" si="1"/>
        <v>0.65122777764195883</v>
      </c>
      <c r="L16" s="162">
        <f t="shared" si="2"/>
        <v>0</v>
      </c>
      <c r="M16" s="163"/>
      <c r="N16" s="36"/>
      <c r="O16" s="36"/>
      <c r="P16" s="36"/>
      <c r="Q16" s="36"/>
      <c r="R16" s="36"/>
      <c r="AK16" s="42"/>
      <c r="AL16" s="42"/>
      <c r="AM16" s="42"/>
      <c r="AN16" s="42"/>
      <c r="AO16" s="42"/>
      <c r="AP16" s="42"/>
      <c r="AQ16" s="42"/>
    </row>
    <row r="17" spans="1:43" x14ac:dyDescent="0.35">
      <c r="A17" s="343"/>
      <c r="B17" s="158">
        <f t="shared" si="3"/>
        <v>6.5</v>
      </c>
      <c r="C17" s="333"/>
      <c r="D17" s="159">
        <f t="shared" si="5"/>
        <v>6.5</v>
      </c>
      <c r="E17" s="159">
        <f t="shared" si="4"/>
        <v>6.5</v>
      </c>
      <c r="F17" s="160">
        <f>'F2-D Availability Payment (AP)'!P15</f>
        <v>0</v>
      </c>
      <c r="G17" s="160">
        <f>'F2-D Availability Payment (AP)'!Q15</f>
        <v>0</v>
      </c>
      <c r="H17" s="160">
        <f>'F2-E Output Payment (OP)'!L15</f>
        <v>0</v>
      </c>
      <c r="I17" s="160">
        <f>'F2-E Output Payment (OP)'!M15</f>
        <v>0</v>
      </c>
      <c r="J17" s="160">
        <f t="shared" si="0"/>
        <v>0</v>
      </c>
      <c r="K17" s="161">
        <f t="shared" si="1"/>
        <v>0.59202525240178083</v>
      </c>
      <c r="L17" s="162">
        <f t="shared" si="2"/>
        <v>0</v>
      </c>
      <c r="M17" s="163"/>
      <c r="N17" s="36"/>
      <c r="O17" s="36"/>
      <c r="P17" s="36"/>
      <c r="Q17" s="36"/>
      <c r="R17" s="36"/>
      <c r="AK17" s="42"/>
      <c r="AL17" s="42"/>
      <c r="AM17" s="42"/>
      <c r="AN17" s="42"/>
      <c r="AO17" s="42"/>
      <c r="AP17" s="42"/>
      <c r="AQ17" s="42"/>
    </row>
    <row r="18" spans="1:43" x14ac:dyDescent="0.35">
      <c r="A18" s="343"/>
      <c r="B18" s="158">
        <f t="shared" si="3"/>
        <v>7.5</v>
      </c>
      <c r="C18" s="333"/>
      <c r="D18" s="159">
        <f t="shared" si="5"/>
        <v>7.5</v>
      </c>
      <c r="E18" s="159">
        <f t="shared" si="4"/>
        <v>7.5</v>
      </c>
      <c r="F18" s="160">
        <f>'F2-D Availability Payment (AP)'!P16</f>
        <v>0</v>
      </c>
      <c r="G18" s="160">
        <f>'F2-D Availability Payment (AP)'!Q16</f>
        <v>0</v>
      </c>
      <c r="H18" s="160">
        <f>'F2-E Output Payment (OP)'!L16</f>
        <v>0</v>
      </c>
      <c r="I18" s="160">
        <f>'F2-E Output Payment (OP)'!M16</f>
        <v>0</v>
      </c>
      <c r="J18" s="160">
        <f t="shared" si="0"/>
        <v>0</v>
      </c>
      <c r="K18" s="161">
        <f t="shared" si="1"/>
        <v>0.53820477491070973</v>
      </c>
      <c r="L18" s="162">
        <f t="shared" si="2"/>
        <v>0</v>
      </c>
      <c r="M18" s="163"/>
      <c r="N18" s="36"/>
      <c r="O18" s="36"/>
      <c r="P18" s="36"/>
      <c r="Q18" s="36"/>
      <c r="R18" s="36"/>
      <c r="AK18" s="42"/>
      <c r="AL18" s="42"/>
      <c r="AM18" s="42"/>
      <c r="AN18" s="42"/>
      <c r="AO18" s="42"/>
      <c r="AP18" s="42"/>
      <c r="AQ18" s="42"/>
    </row>
    <row r="19" spans="1:43" x14ac:dyDescent="0.35">
      <c r="A19" s="343"/>
      <c r="B19" s="158">
        <f t="shared" si="3"/>
        <v>8.5</v>
      </c>
      <c r="C19" s="333"/>
      <c r="D19" s="159">
        <f t="shared" si="5"/>
        <v>8.5</v>
      </c>
      <c r="E19" s="159">
        <f t="shared" si="4"/>
        <v>8.5</v>
      </c>
      <c r="F19" s="160">
        <f>'F2-D Availability Payment (AP)'!P17</f>
        <v>0</v>
      </c>
      <c r="G19" s="160">
        <f>'F2-D Availability Payment (AP)'!Q17</f>
        <v>0</v>
      </c>
      <c r="H19" s="160">
        <f>'F2-E Output Payment (OP)'!L17</f>
        <v>0</v>
      </c>
      <c r="I19" s="160">
        <f>'F2-E Output Payment (OP)'!M17</f>
        <v>0</v>
      </c>
      <c r="J19" s="160">
        <f t="shared" si="0"/>
        <v>0</v>
      </c>
      <c r="K19" s="161">
        <f t="shared" si="1"/>
        <v>0.48927706810064514</v>
      </c>
      <c r="L19" s="162">
        <f t="shared" si="2"/>
        <v>0</v>
      </c>
      <c r="M19" s="163"/>
      <c r="N19" s="36"/>
      <c r="O19" s="36"/>
      <c r="P19" s="36"/>
      <c r="Q19" s="36"/>
      <c r="R19" s="36"/>
      <c r="AK19" s="42"/>
      <c r="AL19" s="42"/>
      <c r="AM19" s="42"/>
      <c r="AN19" s="42"/>
      <c r="AO19" s="42"/>
      <c r="AP19" s="42"/>
      <c r="AQ19" s="42"/>
    </row>
    <row r="20" spans="1:43" x14ac:dyDescent="0.35">
      <c r="A20" s="343"/>
      <c r="B20" s="158">
        <f t="shared" si="3"/>
        <v>9.5</v>
      </c>
      <c r="C20" s="333"/>
      <c r="D20" s="159">
        <f t="shared" si="5"/>
        <v>9.5</v>
      </c>
      <c r="E20" s="159">
        <f t="shared" si="4"/>
        <v>9.5</v>
      </c>
      <c r="F20" s="160">
        <f>'F2-D Availability Payment (AP)'!P18</f>
        <v>0</v>
      </c>
      <c r="G20" s="160">
        <f>'F2-D Availability Payment (AP)'!Q18</f>
        <v>0</v>
      </c>
      <c r="H20" s="160">
        <f>'F2-E Output Payment (OP)'!L18</f>
        <v>0</v>
      </c>
      <c r="I20" s="160">
        <f>'F2-E Output Payment (OP)'!M18</f>
        <v>0</v>
      </c>
      <c r="J20" s="160">
        <f t="shared" si="0"/>
        <v>0</v>
      </c>
      <c r="K20" s="161">
        <f t="shared" si="1"/>
        <v>0.44479733463695009</v>
      </c>
      <c r="L20" s="162">
        <f t="shared" si="2"/>
        <v>0</v>
      </c>
      <c r="M20" s="163"/>
      <c r="N20" s="36"/>
      <c r="O20" s="36"/>
      <c r="P20" s="36"/>
      <c r="Q20" s="36"/>
      <c r="R20" s="36"/>
      <c r="AK20" s="42"/>
      <c r="AL20" s="42"/>
      <c r="AM20" s="42"/>
      <c r="AN20" s="42"/>
      <c r="AO20" s="42"/>
      <c r="AP20" s="42"/>
      <c r="AQ20" s="42"/>
    </row>
    <row r="21" spans="1:43" x14ac:dyDescent="0.35">
      <c r="A21" s="343"/>
      <c r="B21" s="158">
        <f t="shared" si="3"/>
        <v>10.5</v>
      </c>
      <c r="C21" s="333"/>
      <c r="D21" s="159">
        <f t="shared" si="5"/>
        <v>10.5</v>
      </c>
      <c r="E21" s="159">
        <f t="shared" si="4"/>
        <v>10.5</v>
      </c>
      <c r="F21" s="160">
        <f>'F2-D Availability Payment (AP)'!P19</f>
        <v>0</v>
      </c>
      <c r="G21" s="160">
        <f>'F2-D Availability Payment (AP)'!Q19</f>
        <v>0</v>
      </c>
      <c r="H21" s="160">
        <f>'F2-E Output Payment (OP)'!L19</f>
        <v>0</v>
      </c>
      <c r="I21" s="160">
        <f>'F2-E Output Payment (OP)'!M19</f>
        <v>0</v>
      </c>
      <c r="J21" s="160">
        <f t="shared" si="0"/>
        <v>0</v>
      </c>
      <c r="K21" s="161">
        <f t="shared" si="1"/>
        <v>0.4043612133063183</v>
      </c>
      <c r="L21" s="162">
        <f t="shared" si="2"/>
        <v>0</v>
      </c>
      <c r="M21" s="163"/>
      <c r="N21" s="36"/>
      <c r="O21" s="36"/>
      <c r="P21" s="36"/>
      <c r="Q21" s="36"/>
      <c r="R21" s="36"/>
      <c r="AK21" s="42"/>
      <c r="AL21" s="42"/>
      <c r="AM21" s="42"/>
      <c r="AN21" s="42"/>
      <c r="AO21" s="42"/>
      <c r="AP21" s="42"/>
      <c r="AQ21" s="42"/>
    </row>
    <row r="22" spans="1:43" x14ac:dyDescent="0.35">
      <c r="A22" s="343"/>
      <c r="B22" s="158">
        <f t="shared" si="3"/>
        <v>11.5</v>
      </c>
      <c r="C22" s="333"/>
      <c r="D22" s="159">
        <f t="shared" si="5"/>
        <v>11.5</v>
      </c>
      <c r="E22" s="159">
        <f t="shared" si="4"/>
        <v>11.5</v>
      </c>
      <c r="F22" s="160">
        <f>'F2-D Availability Payment (AP)'!P20</f>
        <v>0</v>
      </c>
      <c r="G22" s="160">
        <f>'F2-D Availability Payment (AP)'!Q20</f>
        <v>0</v>
      </c>
      <c r="H22" s="160">
        <f>'F2-E Output Payment (OP)'!L20</f>
        <v>0</v>
      </c>
      <c r="I22" s="160">
        <f>'F2-E Output Payment (OP)'!M20</f>
        <v>0</v>
      </c>
      <c r="J22" s="160">
        <f t="shared" si="0"/>
        <v>0</v>
      </c>
      <c r="K22" s="161">
        <f t="shared" si="1"/>
        <v>0.36760110300574383</v>
      </c>
      <c r="L22" s="162">
        <f t="shared" si="2"/>
        <v>0</v>
      </c>
      <c r="M22" s="163"/>
      <c r="N22" s="36"/>
      <c r="O22" s="36"/>
      <c r="P22" s="36"/>
      <c r="Q22" s="36"/>
      <c r="R22" s="36"/>
      <c r="AK22" s="42"/>
      <c r="AL22" s="42"/>
      <c r="AM22" s="42"/>
      <c r="AN22" s="42"/>
      <c r="AO22" s="42"/>
      <c r="AP22" s="42"/>
      <c r="AQ22" s="42"/>
    </row>
    <row r="23" spans="1:43" x14ac:dyDescent="0.35">
      <c r="A23" s="343"/>
      <c r="B23" s="158">
        <f t="shared" si="3"/>
        <v>12.5</v>
      </c>
      <c r="C23" s="333"/>
      <c r="D23" s="159">
        <f t="shared" si="5"/>
        <v>12.5</v>
      </c>
      <c r="E23" s="159">
        <f t="shared" si="4"/>
        <v>12.5</v>
      </c>
      <c r="F23" s="160">
        <f>'F2-D Availability Payment (AP)'!P21</f>
        <v>0</v>
      </c>
      <c r="G23" s="160">
        <f>'F2-D Availability Payment (AP)'!Q21</f>
        <v>0</v>
      </c>
      <c r="H23" s="160">
        <f>'F2-E Output Payment (OP)'!L21</f>
        <v>0</v>
      </c>
      <c r="I23" s="160">
        <f>'F2-E Output Payment (OP)'!M21</f>
        <v>0</v>
      </c>
      <c r="J23" s="160">
        <f t="shared" si="0"/>
        <v>0</v>
      </c>
      <c r="K23" s="161">
        <f t="shared" si="1"/>
        <v>0.33418282091431251</v>
      </c>
      <c r="L23" s="162">
        <f t="shared" si="2"/>
        <v>0</v>
      </c>
      <c r="M23" s="163"/>
      <c r="N23" s="36"/>
      <c r="O23" s="36"/>
      <c r="P23" s="36"/>
      <c r="Q23" s="36"/>
      <c r="R23" s="36"/>
      <c r="AK23" s="42"/>
      <c r="AL23" s="42"/>
      <c r="AM23" s="42"/>
      <c r="AN23" s="42"/>
      <c r="AO23" s="42"/>
      <c r="AP23" s="42"/>
      <c r="AQ23" s="42"/>
    </row>
    <row r="24" spans="1:43" x14ac:dyDescent="0.35">
      <c r="A24" s="343"/>
      <c r="B24" s="158">
        <f t="shared" si="3"/>
        <v>13.5</v>
      </c>
      <c r="C24" s="333"/>
      <c r="D24" s="159">
        <f t="shared" si="5"/>
        <v>13.5</v>
      </c>
      <c r="E24" s="159">
        <f t="shared" si="4"/>
        <v>13.5</v>
      </c>
      <c r="F24" s="160">
        <f>'F2-D Availability Payment (AP)'!P22</f>
        <v>0</v>
      </c>
      <c r="G24" s="160">
        <f>'F2-D Availability Payment (AP)'!Q22</f>
        <v>0</v>
      </c>
      <c r="H24" s="160">
        <f>'F2-E Output Payment (OP)'!L22</f>
        <v>0</v>
      </c>
      <c r="I24" s="160">
        <f>'F2-E Output Payment (OP)'!M22</f>
        <v>0</v>
      </c>
      <c r="J24" s="160">
        <f t="shared" si="0"/>
        <v>0</v>
      </c>
      <c r="K24" s="161">
        <f t="shared" si="1"/>
        <v>0.30380256446755688</v>
      </c>
      <c r="L24" s="162">
        <f t="shared" si="2"/>
        <v>0</v>
      </c>
      <c r="M24" s="163"/>
      <c r="N24" s="36"/>
      <c r="O24" s="36"/>
      <c r="P24" s="36"/>
      <c r="Q24" s="36"/>
      <c r="R24" s="36"/>
      <c r="AK24" s="42"/>
      <c r="AL24" s="42"/>
      <c r="AM24" s="42"/>
      <c r="AN24" s="42"/>
      <c r="AO24" s="42"/>
      <c r="AP24" s="42"/>
      <c r="AQ24" s="42"/>
    </row>
    <row r="25" spans="1:43" x14ac:dyDescent="0.35">
      <c r="A25" s="343"/>
      <c r="B25" s="158">
        <f t="shared" si="3"/>
        <v>14.5</v>
      </c>
      <c r="C25" s="333"/>
      <c r="D25" s="159">
        <f t="shared" si="5"/>
        <v>14.5</v>
      </c>
      <c r="E25" s="159">
        <f t="shared" si="4"/>
        <v>14.5</v>
      </c>
      <c r="F25" s="160">
        <f>'F2-D Availability Payment (AP)'!P23</f>
        <v>0</v>
      </c>
      <c r="G25" s="160">
        <f>'F2-D Availability Payment (AP)'!Q23</f>
        <v>0</v>
      </c>
      <c r="H25" s="160">
        <f>'F2-E Output Payment (OP)'!L23</f>
        <v>0</v>
      </c>
      <c r="I25" s="160">
        <f>'F2-E Output Payment (OP)'!M23</f>
        <v>0</v>
      </c>
      <c r="J25" s="160">
        <f t="shared" si="0"/>
        <v>0</v>
      </c>
      <c r="K25" s="161">
        <f t="shared" si="1"/>
        <v>0.27618414951596076</v>
      </c>
      <c r="L25" s="162">
        <f t="shared" si="2"/>
        <v>0</v>
      </c>
      <c r="M25" s="163"/>
      <c r="N25" s="36"/>
      <c r="O25" s="36"/>
      <c r="P25" s="36"/>
      <c r="Q25" s="36"/>
      <c r="R25" s="36"/>
      <c r="AK25" s="42"/>
      <c r="AL25" s="42"/>
      <c r="AM25" s="42"/>
      <c r="AN25" s="42"/>
      <c r="AO25" s="42"/>
      <c r="AP25" s="42"/>
      <c r="AQ25" s="42"/>
    </row>
    <row r="26" spans="1:43" x14ac:dyDescent="0.35">
      <c r="A26" s="343"/>
      <c r="B26" s="158">
        <f t="shared" si="3"/>
        <v>15.5</v>
      </c>
      <c r="C26" s="333"/>
      <c r="D26" s="159">
        <f t="shared" si="5"/>
        <v>15.5</v>
      </c>
      <c r="E26" s="159">
        <f t="shared" si="4"/>
        <v>15.5</v>
      </c>
      <c r="F26" s="160">
        <f>'F2-D Availability Payment (AP)'!P24</f>
        <v>0</v>
      </c>
      <c r="G26" s="160">
        <f>'F2-D Availability Payment (AP)'!Q24</f>
        <v>0</v>
      </c>
      <c r="H26" s="160">
        <f>'F2-E Output Payment (OP)'!L24</f>
        <v>0</v>
      </c>
      <c r="I26" s="160">
        <f>'F2-E Output Payment (OP)'!M24</f>
        <v>0</v>
      </c>
      <c r="J26" s="160">
        <f t="shared" si="0"/>
        <v>0</v>
      </c>
      <c r="K26" s="161">
        <f t="shared" si="1"/>
        <v>0.25107649955996431</v>
      </c>
      <c r="L26" s="162">
        <f t="shared" si="2"/>
        <v>0</v>
      </c>
      <c r="M26" s="163"/>
      <c r="N26" s="36"/>
      <c r="O26" s="36"/>
      <c r="P26" s="36"/>
      <c r="Q26" s="36"/>
      <c r="R26" s="36"/>
      <c r="AK26" s="42"/>
      <c r="AL26" s="42"/>
      <c r="AM26" s="42"/>
      <c r="AN26" s="42"/>
      <c r="AO26" s="42"/>
      <c r="AP26" s="42"/>
      <c r="AQ26" s="42"/>
    </row>
    <row r="27" spans="1:43" ht="15" thickBot="1" x14ac:dyDescent="0.4">
      <c r="A27" s="344"/>
      <c r="B27" s="165">
        <f t="shared" si="3"/>
        <v>16.5</v>
      </c>
      <c r="C27" s="334"/>
      <c r="D27" s="159">
        <f t="shared" si="5"/>
        <v>16.5</v>
      </c>
      <c r="E27" s="166">
        <f t="shared" si="4"/>
        <v>16.5</v>
      </c>
      <c r="F27" s="167">
        <f>'F2-D Availability Payment (AP)'!P25</f>
        <v>0</v>
      </c>
      <c r="G27" s="167">
        <f>'F2-D Availability Payment (AP)'!Q25</f>
        <v>0</v>
      </c>
      <c r="H27" s="167">
        <f>'F2-E Output Payment (OP)'!L25</f>
        <v>0</v>
      </c>
      <c r="I27" s="167">
        <f>'F2-E Output Payment (OP)'!M25</f>
        <v>0</v>
      </c>
      <c r="J27" s="167">
        <f t="shared" si="0"/>
        <v>0</v>
      </c>
      <c r="K27" s="168">
        <f t="shared" si="1"/>
        <v>0.22825136323633116</v>
      </c>
      <c r="L27" s="162">
        <f t="shared" si="2"/>
        <v>0</v>
      </c>
      <c r="M27" s="36"/>
      <c r="N27" s="36"/>
      <c r="O27" s="36"/>
      <c r="P27" s="36"/>
      <c r="Q27" s="36"/>
      <c r="R27" s="36"/>
      <c r="AK27" s="42"/>
      <c r="AL27" s="42"/>
      <c r="AM27" s="42"/>
      <c r="AN27" s="42"/>
      <c r="AO27" s="42"/>
      <c r="AP27" s="42"/>
      <c r="AQ27" s="42"/>
    </row>
    <row r="28" spans="1:43" x14ac:dyDescent="0.35">
      <c r="B28" s="169" t="s">
        <v>108</v>
      </c>
      <c r="C28" s="170"/>
      <c r="D28" s="170"/>
      <c r="E28" s="170"/>
      <c r="F28" s="171"/>
      <c r="G28" s="171"/>
      <c r="H28" s="171"/>
      <c r="I28" s="171"/>
      <c r="J28" s="171"/>
      <c r="K28" s="171"/>
      <c r="L28" s="172">
        <f>SUM(L11:L27)</f>
        <v>2474523203.9757109</v>
      </c>
      <c r="M28" s="36"/>
      <c r="N28" s="36"/>
      <c r="O28" s="36"/>
      <c r="P28" s="36"/>
      <c r="Q28" s="36"/>
      <c r="R28" s="36"/>
      <c r="AK28" s="42"/>
      <c r="AL28" s="42"/>
      <c r="AM28" s="42"/>
      <c r="AN28" s="42"/>
      <c r="AO28" s="42"/>
      <c r="AP28" s="42"/>
      <c r="AQ28" s="42"/>
    </row>
    <row r="29" spans="1:43" s="36" customFormat="1" x14ac:dyDescent="0.35">
      <c r="B29" s="173" t="s">
        <v>197</v>
      </c>
      <c r="C29" s="174"/>
      <c r="D29" s="174"/>
      <c r="E29" s="175"/>
      <c r="F29" s="175"/>
      <c r="G29" s="175"/>
      <c r="H29" s="175"/>
      <c r="I29" s="175"/>
      <c r="J29" s="175"/>
      <c r="K29" s="175"/>
      <c r="L29" s="176">
        <f>'F2-I Sources &amp; Uses'!C24</f>
        <v>0</v>
      </c>
    </row>
    <row r="30" spans="1:43" s="177" customFormat="1" ht="15" thickBot="1" x14ac:dyDescent="0.4">
      <c r="B30" s="178" t="s">
        <v>198</v>
      </c>
      <c r="C30" s="179"/>
      <c r="D30" s="179"/>
      <c r="E30" s="180"/>
      <c r="F30" s="180"/>
      <c r="G30" s="180"/>
      <c r="H30" s="180"/>
      <c r="I30" s="180"/>
      <c r="J30" s="180"/>
      <c r="K30" s="180"/>
      <c r="L30" s="181">
        <f>L28+L29</f>
        <v>2474523203.9757109</v>
      </c>
    </row>
    <row r="31" spans="1:43" s="36" customFormat="1" x14ac:dyDescent="0.35">
      <c r="B31" s="182"/>
      <c r="C31" s="182"/>
      <c r="D31" s="182"/>
      <c r="E31" s="182"/>
      <c r="F31" s="182"/>
      <c r="G31" s="182"/>
      <c r="H31" s="182"/>
      <c r="I31" s="182"/>
      <c r="J31" s="182"/>
      <c r="K31" s="182"/>
      <c r="L31" s="182"/>
    </row>
    <row r="32" spans="1:43" s="36" customFormat="1" ht="15" thickBot="1" x14ac:dyDescent="0.4">
      <c r="B32" s="40" t="s">
        <v>2</v>
      </c>
      <c r="C32" s="40"/>
      <c r="D32" s="40"/>
      <c r="E32" s="40"/>
      <c r="F32" s="40"/>
      <c r="G32" s="40"/>
      <c r="H32" s="40"/>
      <c r="I32" s="40"/>
      <c r="J32" s="40"/>
      <c r="K32" s="40"/>
      <c r="L32" s="40"/>
      <c r="M32" s="40"/>
      <c r="N32" s="40"/>
      <c r="O32" s="40"/>
      <c r="P32" s="40"/>
    </row>
    <row r="33" spans="2:16" s="36" customFormat="1" ht="15" thickBot="1" x14ac:dyDescent="0.4">
      <c r="B33" s="40" t="s">
        <v>109</v>
      </c>
      <c r="C33" s="40"/>
      <c r="D33" s="40"/>
      <c r="E33" s="40"/>
      <c r="F33" s="40"/>
      <c r="G33" s="40"/>
      <c r="H33" s="40"/>
      <c r="I33" s="183">
        <v>39</v>
      </c>
      <c r="J33" s="40"/>
      <c r="L33" s="40"/>
      <c r="M33" s="40"/>
      <c r="N33" s="40"/>
      <c r="O33" s="40"/>
      <c r="P33" s="40"/>
    </row>
    <row r="34" spans="2:16" s="36" customFormat="1" ht="15" thickBot="1" x14ac:dyDescent="0.4">
      <c r="B34" s="40" t="s">
        <v>112</v>
      </c>
      <c r="C34" s="40"/>
      <c r="D34" s="40"/>
      <c r="E34" s="40"/>
      <c r="F34" s="40"/>
      <c r="G34" s="40"/>
      <c r="H34" s="40"/>
      <c r="I34" s="184">
        <v>0.09</v>
      </c>
      <c r="J34" s="40"/>
      <c r="L34" s="40"/>
      <c r="M34" s="40"/>
      <c r="N34" s="40"/>
      <c r="O34" s="40"/>
      <c r="P34" s="40"/>
    </row>
    <row r="35" spans="2:16" s="36" customFormat="1" ht="15" thickBot="1" x14ac:dyDescent="0.4">
      <c r="B35" s="40" t="s">
        <v>114</v>
      </c>
      <c r="C35" s="40"/>
      <c r="D35" s="40"/>
      <c r="E35" s="40"/>
      <c r="F35" s="40"/>
      <c r="G35" s="40"/>
      <c r="H35" s="40"/>
      <c r="I35" s="184">
        <v>0.09</v>
      </c>
      <c r="J35" s="40"/>
      <c r="L35" s="40"/>
      <c r="M35" s="40"/>
      <c r="N35" s="40"/>
      <c r="O35" s="40"/>
      <c r="P35" s="40"/>
    </row>
    <row r="36" spans="2:16" s="36" customFormat="1" ht="15" thickBot="1" x14ac:dyDescent="0.4">
      <c r="B36" s="40" t="s">
        <v>113</v>
      </c>
      <c r="C36" s="40"/>
      <c r="D36" s="40"/>
      <c r="E36" s="40"/>
      <c r="F36" s="40"/>
      <c r="G36" s="40"/>
      <c r="H36" s="40"/>
      <c r="I36" s="184">
        <v>0.09</v>
      </c>
      <c r="J36" s="40"/>
      <c r="L36" s="40"/>
      <c r="M36" s="40"/>
      <c r="N36" s="40"/>
      <c r="O36" s="40"/>
      <c r="P36" s="40"/>
    </row>
    <row r="37" spans="2:16" s="36" customFormat="1" ht="15" thickBot="1" x14ac:dyDescent="0.4">
      <c r="B37" s="40" t="s">
        <v>111</v>
      </c>
      <c r="C37" s="40"/>
      <c r="D37" s="40"/>
      <c r="E37" s="40"/>
      <c r="F37" s="40"/>
      <c r="G37" s="40"/>
      <c r="H37" s="40"/>
      <c r="I37" s="184">
        <v>0.1</v>
      </c>
      <c r="J37" s="40"/>
      <c r="L37" s="40"/>
      <c r="M37" s="40"/>
      <c r="N37" s="40"/>
      <c r="O37" s="40"/>
      <c r="P37" s="40"/>
    </row>
    <row r="38" spans="2:16" s="36" customFormat="1" ht="48" customHeight="1" thickBot="1" x14ac:dyDescent="0.4">
      <c r="B38" s="185" t="s">
        <v>220</v>
      </c>
      <c r="I38" s="310"/>
      <c r="J38" s="364" t="s">
        <v>255</v>
      </c>
      <c r="K38" s="365"/>
      <c r="L38" s="365"/>
      <c r="M38" s="40"/>
      <c r="N38" s="40"/>
      <c r="O38" s="40"/>
      <c r="P38" s="40"/>
    </row>
    <row r="39" spans="2:16" s="36" customFormat="1" x14ac:dyDescent="0.35">
      <c r="L39" s="40"/>
      <c r="M39" s="40"/>
      <c r="N39" s="40"/>
      <c r="O39" s="40"/>
      <c r="P39" s="40"/>
    </row>
    <row r="40" spans="2:16" s="177" customFormat="1" x14ac:dyDescent="0.35">
      <c r="B40" s="186" t="s">
        <v>219</v>
      </c>
      <c r="C40" s="186"/>
      <c r="D40" s="186"/>
      <c r="L40" s="186"/>
      <c r="M40" s="186"/>
      <c r="N40" s="186"/>
      <c r="O40" s="186"/>
      <c r="P40" s="186"/>
    </row>
    <row r="41" spans="2:16" s="36" customFormat="1" ht="15" thickBot="1" x14ac:dyDescent="0.4">
      <c r="L41" s="40"/>
      <c r="M41" s="40"/>
      <c r="N41" s="40"/>
      <c r="O41" s="40"/>
      <c r="P41" s="40"/>
    </row>
    <row r="42" spans="2:16" s="36" customFormat="1" ht="15" thickBot="1" x14ac:dyDescent="0.4">
      <c r="B42" s="74"/>
      <c r="C42" s="40" t="s">
        <v>9</v>
      </c>
      <c r="D42" s="187"/>
      <c r="F42" s="40"/>
      <c r="G42" s="40"/>
    </row>
    <row r="43" spans="2:16" s="36" customFormat="1" ht="15" thickBot="1" x14ac:dyDescent="0.4">
      <c r="B43" s="75"/>
      <c r="C43" s="40" t="s">
        <v>19</v>
      </c>
      <c r="D43" s="188"/>
      <c r="F43" s="40"/>
      <c r="G43" s="40"/>
    </row>
    <row r="44" spans="2:16" s="36" customFormat="1" ht="15" thickBot="1" x14ac:dyDescent="0.4">
      <c r="B44" s="76"/>
      <c r="C44" s="40" t="s">
        <v>10</v>
      </c>
      <c r="D44" s="182"/>
      <c r="F44" s="40"/>
      <c r="G44" s="40"/>
    </row>
    <row r="45" spans="2:16" s="36" customFormat="1" x14ac:dyDescent="0.35"/>
    <row r="46" spans="2:16" s="36" customFormat="1" x14ac:dyDescent="0.35"/>
    <row r="47" spans="2:16" s="36" customFormat="1" x14ac:dyDescent="0.35"/>
    <row r="48" spans="2:16" s="36" customFormat="1" x14ac:dyDescent="0.35"/>
    <row r="49" s="36" customFormat="1" x14ac:dyDescent="0.35"/>
    <row r="50" s="36" customFormat="1" x14ac:dyDescent="0.35"/>
    <row r="51" s="36" customFormat="1" x14ac:dyDescent="0.35"/>
    <row r="52" s="36" customFormat="1" x14ac:dyDescent="0.35"/>
    <row r="53" s="36" customFormat="1" x14ac:dyDescent="0.35"/>
    <row r="54" s="36" customFormat="1" x14ac:dyDescent="0.35"/>
    <row r="55" s="36" customFormat="1" x14ac:dyDescent="0.35"/>
    <row r="56" s="36" customFormat="1" x14ac:dyDescent="0.35"/>
    <row r="57" s="36" customFormat="1" x14ac:dyDescent="0.35"/>
  </sheetData>
  <sheetProtection algorithmName="SHA-512" hashValue="b+miBqnUybp89hnE4k4IdyQ6ucrLUidxRVA6k1OetoziVwe5u3pbJnzBFf2CsdPB2onONPW0jzAIZNyzlXmVRA==" saltValue="+7tIvwkMiFcCF8z8fskGoQ==" spinCount="100000" sheet="1" objects="1" scenarios="1"/>
  <mergeCells count="8">
    <mergeCell ref="J38:L38"/>
    <mergeCell ref="A11:A12"/>
    <mergeCell ref="A13:A27"/>
    <mergeCell ref="B3:K3"/>
    <mergeCell ref="E7:E9"/>
    <mergeCell ref="B7:B9"/>
    <mergeCell ref="C11:C27"/>
    <mergeCell ref="D7:D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D4BB7-92AB-4FF0-A5A0-AFD4D6FDBF9D}">
  <dimension ref="A3:N89"/>
  <sheetViews>
    <sheetView showGridLines="0" topLeftCell="A35" zoomScale="70" zoomScaleNormal="70" workbookViewId="0">
      <selection activeCell="D8" sqref="D8"/>
    </sheetView>
  </sheetViews>
  <sheetFormatPr defaultRowHeight="14.5" x14ac:dyDescent="0.35"/>
  <cols>
    <col min="1" max="1" width="9.54296875" style="42" customWidth="1"/>
    <col min="2" max="2" width="43.453125" style="42" customWidth="1"/>
    <col min="3" max="3" width="9.54296875" style="42" customWidth="1"/>
    <col min="4" max="4" width="19.81640625" style="42" customWidth="1"/>
    <col min="5" max="5" width="22.453125" style="42" customWidth="1"/>
    <col min="6" max="6" width="29" style="42" customWidth="1"/>
    <col min="7" max="7" width="21.453125" style="42" customWidth="1"/>
    <col min="8" max="8" width="30" style="42" customWidth="1"/>
    <col min="9" max="9" width="8.7265625" style="42"/>
    <col min="10" max="10" width="12.54296875" style="42" customWidth="1"/>
    <col min="11" max="11" width="24.1796875" style="42" customWidth="1"/>
    <col min="12" max="12" width="37.1796875" style="42" customWidth="1"/>
    <col min="13" max="13" width="20.1796875" style="42" customWidth="1"/>
    <col min="14" max="14" width="31.453125" style="42" customWidth="1"/>
    <col min="15" max="16384" width="8.7265625" style="42"/>
  </cols>
  <sheetData>
    <row r="3" spans="1:14" ht="17.5" x14ac:dyDescent="0.35">
      <c r="B3" s="359" t="s">
        <v>136</v>
      </c>
      <c r="C3" s="359"/>
      <c r="D3" s="359"/>
      <c r="E3" s="359"/>
      <c r="F3" s="359"/>
      <c r="G3" s="359"/>
      <c r="H3" s="359"/>
    </row>
    <row r="4" spans="1:14" ht="15" thickBot="1" x14ac:dyDescent="0.4"/>
    <row r="5" spans="1:14" s="189" customFormat="1" ht="11.5" x14ac:dyDescent="0.25">
      <c r="B5" s="190" t="s">
        <v>202</v>
      </c>
      <c r="C5" s="191" t="s">
        <v>201</v>
      </c>
      <c r="D5" s="191" t="s">
        <v>206</v>
      </c>
      <c r="E5" s="192"/>
    </row>
    <row r="6" spans="1:14" s="189" customFormat="1" ht="24" customHeight="1" x14ac:dyDescent="0.25">
      <c r="B6" s="193" t="s">
        <v>282</v>
      </c>
      <c r="C6" s="194" t="s">
        <v>80</v>
      </c>
      <c r="D6" s="396"/>
      <c r="E6" s="373"/>
    </row>
    <row r="7" spans="1:14" s="189" customFormat="1" ht="23" x14ac:dyDescent="0.25">
      <c r="B7" s="195" t="s">
        <v>207</v>
      </c>
      <c r="C7" s="196" t="s">
        <v>80</v>
      </c>
      <c r="D7" s="396"/>
      <c r="E7" s="374"/>
    </row>
    <row r="8" spans="1:14" s="197" customFormat="1" ht="11.5" x14ac:dyDescent="0.25">
      <c r="B8" s="198" t="s">
        <v>200</v>
      </c>
      <c r="C8" s="189" t="s">
        <v>90</v>
      </c>
      <c r="D8" s="199">
        <f>'F2-I Sources &amp; Uses'!C23</f>
        <v>0</v>
      </c>
      <c r="E8" s="374"/>
    </row>
    <row r="9" spans="1:14" s="200" customFormat="1" ht="11.5" customHeight="1" x14ac:dyDescent="0.25">
      <c r="B9" s="201" t="s">
        <v>203</v>
      </c>
      <c r="C9" s="159" t="s">
        <v>90</v>
      </c>
      <c r="D9" s="202">
        <f>'F2-I Sources &amp; Uses'!C22</f>
        <v>0</v>
      </c>
      <c r="E9" s="374"/>
    </row>
    <row r="10" spans="1:14" s="200" customFormat="1" ht="11.5" customHeight="1" x14ac:dyDescent="0.25">
      <c r="B10" s="201" t="s">
        <v>261</v>
      </c>
      <c r="C10" s="159" t="s">
        <v>90</v>
      </c>
      <c r="D10" s="202">
        <f>D9+D8</f>
        <v>0</v>
      </c>
      <c r="E10" s="374"/>
    </row>
    <row r="11" spans="1:14" s="200" customFormat="1" ht="11.5" customHeight="1" x14ac:dyDescent="0.25">
      <c r="B11" s="201" t="s">
        <v>205</v>
      </c>
      <c r="C11" s="159" t="s">
        <v>80</v>
      </c>
      <c r="D11" s="247">
        <v>0</v>
      </c>
      <c r="E11" s="374"/>
    </row>
    <row r="12" spans="1:14" s="200" customFormat="1" ht="12" customHeight="1" thickBot="1" x14ac:dyDescent="0.3">
      <c r="B12" s="203" t="s">
        <v>204</v>
      </c>
      <c r="C12" s="204" t="s">
        <v>80</v>
      </c>
      <c r="D12" s="248">
        <v>0</v>
      </c>
      <c r="E12" s="375"/>
    </row>
    <row r="13" spans="1:14" s="200" customFormat="1" ht="12" customHeight="1" x14ac:dyDescent="0.25">
      <c r="B13" s="205"/>
      <c r="C13" s="159"/>
      <c r="D13" s="206"/>
      <c r="E13" s="207"/>
    </row>
    <row r="14" spans="1:14" ht="15" thickBot="1" x14ac:dyDescent="0.4">
      <c r="B14" s="383" t="s">
        <v>280</v>
      </c>
      <c r="C14" s="384"/>
      <c r="D14" s="384"/>
      <c r="E14" s="384"/>
      <c r="F14" s="384"/>
      <c r="G14" s="384"/>
      <c r="H14" s="385"/>
    </row>
    <row r="15" spans="1:14" ht="34" customHeight="1" x14ac:dyDescent="0.35">
      <c r="A15" s="36"/>
      <c r="B15" s="387" t="s">
        <v>0</v>
      </c>
      <c r="C15" s="338" t="s">
        <v>135</v>
      </c>
      <c r="D15" s="376" t="s">
        <v>132</v>
      </c>
      <c r="E15" s="143" t="s">
        <v>128</v>
      </c>
      <c r="F15" s="143" t="s">
        <v>129</v>
      </c>
      <c r="G15" s="143" t="s">
        <v>130</v>
      </c>
      <c r="H15" s="208" t="s">
        <v>131</v>
      </c>
      <c r="J15" s="209"/>
      <c r="K15" s="143" t="s">
        <v>128</v>
      </c>
      <c r="L15" s="143" t="s">
        <v>129</v>
      </c>
      <c r="M15" s="143" t="s">
        <v>130</v>
      </c>
      <c r="N15" s="144" t="s">
        <v>131</v>
      </c>
    </row>
    <row r="16" spans="1:14" x14ac:dyDescent="0.35">
      <c r="A16" s="36"/>
      <c r="B16" s="388"/>
      <c r="C16" s="389"/>
      <c r="D16" s="377"/>
      <c r="E16" s="149" t="s">
        <v>283</v>
      </c>
      <c r="F16" s="151" t="s">
        <v>283</v>
      </c>
      <c r="G16" s="151" t="s">
        <v>90</v>
      </c>
      <c r="H16" s="210" t="s">
        <v>90</v>
      </c>
      <c r="J16" s="211" t="s">
        <v>0</v>
      </c>
      <c r="K16" s="149" t="s">
        <v>283</v>
      </c>
      <c r="L16" s="151" t="s">
        <v>283</v>
      </c>
      <c r="M16" s="151" t="s">
        <v>90</v>
      </c>
      <c r="N16" s="212" t="s">
        <v>90</v>
      </c>
    </row>
    <row r="17" spans="1:14" ht="15" thickBot="1" x14ac:dyDescent="0.4">
      <c r="A17" s="36"/>
      <c r="B17" s="213"/>
      <c r="C17" s="156"/>
      <c r="D17" s="156"/>
      <c r="E17" s="155"/>
      <c r="F17" s="155"/>
      <c r="G17" s="155"/>
      <c r="H17" s="214"/>
      <c r="J17" s="154"/>
      <c r="K17" s="155"/>
      <c r="L17" s="155"/>
      <c r="M17" s="155"/>
      <c r="N17" s="157"/>
    </row>
    <row r="18" spans="1:14" x14ac:dyDescent="0.35">
      <c r="A18" s="340" t="s">
        <v>29</v>
      </c>
      <c r="B18" s="215">
        <v>1</v>
      </c>
      <c r="C18" s="216"/>
      <c r="D18" s="216"/>
      <c r="E18" s="216"/>
      <c r="F18" s="216"/>
      <c r="G18" s="216"/>
      <c r="H18" s="217"/>
      <c r="J18" s="158">
        <v>1</v>
      </c>
      <c r="K18" s="218"/>
      <c r="L18" s="218"/>
      <c r="M18" s="218"/>
      <c r="N18" s="219"/>
    </row>
    <row r="19" spans="1:14" ht="15" thickBot="1" x14ac:dyDescent="0.4">
      <c r="A19" s="386"/>
      <c r="B19" s="220">
        <v>1.5</v>
      </c>
      <c r="C19" s="218"/>
      <c r="D19" s="218"/>
      <c r="E19" s="218"/>
      <c r="F19" s="218"/>
      <c r="G19" s="218"/>
      <c r="H19" s="221"/>
      <c r="J19" s="165">
        <v>1.5</v>
      </c>
      <c r="K19" s="222"/>
      <c r="L19" s="223">
        <f>SUM(K20:K34)</f>
        <v>0</v>
      </c>
      <c r="M19" s="222"/>
      <c r="N19" s="224">
        <f>SUM(M20:M34)</f>
        <v>0</v>
      </c>
    </row>
    <row r="20" spans="1:14" ht="15" thickBot="1" x14ac:dyDescent="0.4">
      <c r="A20" s="225" t="s">
        <v>134</v>
      </c>
      <c r="B20" s="226"/>
      <c r="C20" s="222"/>
      <c r="D20" s="227" t="str">
        <f>A20</f>
        <v>PCOD</v>
      </c>
      <c r="E20" s="222"/>
      <c r="F20" s="223">
        <f>SUM(E21:E80)</f>
        <v>0</v>
      </c>
      <c r="G20" s="222"/>
      <c r="H20" s="228">
        <f>SUM(G21:G80)</f>
        <v>0</v>
      </c>
      <c r="J20" s="158">
        <f t="shared" ref="J20:J34" si="0">J19+1</f>
        <v>2.5</v>
      </c>
      <c r="K20" s="229">
        <f>SUM(E21:E24)</f>
        <v>0</v>
      </c>
      <c r="L20" s="229">
        <f>F24</f>
        <v>0</v>
      </c>
      <c r="M20" s="229">
        <f>SUM(G21:G24)</f>
        <v>0</v>
      </c>
      <c r="N20" s="230">
        <f>H24</f>
        <v>0</v>
      </c>
    </row>
    <row r="21" spans="1:14" x14ac:dyDescent="0.35">
      <c r="A21" s="390" t="s">
        <v>30</v>
      </c>
      <c r="B21" s="372">
        <v>1</v>
      </c>
      <c r="C21" s="159">
        <v>1</v>
      </c>
      <c r="D21" s="189" t="s">
        <v>137</v>
      </c>
      <c r="E21" s="249">
        <v>0</v>
      </c>
      <c r="F21" s="160">
        <f>F20-E21</f>
        <v>0</v>
      </c>
      <c r="G21" s="249">
        <v>0</v>
      </c>
      <c r="H21" s="231">
        <f>H20-G21</f>
        <v>0</v>
      </c>
      <c r="J21" s="158">
        <f t="shared" si="0"/>
        <v>3.5</v>
      </c>
      <c r="K21" s="229">
        <f>SUM(E25:E28)</f>
        <v>0</v>
      </c>
      <c r="L21" s="229">
        <f>F28</f>
        <v>0</v>
      </c>
      <c r="M21" s="229">
        <f>SUM(G25:G28)</f>
        <v>0</v>
      </c>
      <c r="N21" s="232">
        <f>H28</f>
        <v>0</v>
      </c>
    </row>
    <row r="22" spans="1:14" x14ac:dyDescent="0.35">
      <c r="A22" s="391"/>
      <c r="B22" s="370"/>
      <c r="C22" s="159">
        <v>2</v>
      </c>
      <c r="D22" s="189" t="s">
        <v>138</v>
      </c>
      <c r="E22" s="249">
        <v>0</v>
      </c>
      <c r="F22" s="160">
        <f t="shared" ref="F22:F80" si="1">F21-E22</f>
        <v>0</v>
      </c>
      <c r="G22" s="249">
        <v>0</v>
      </c>
      <c r="H22" s="231">
        <f t="shared" ref="H22:H80" si="2">H21-G22</f>
        <v>0</v>
      </c>
      <c r="J22" s="158">
        <f t="shared" si="0"/>
        <v>4.5</v>
      </c>
      <c r="K22" s="233">
        <f>SUM(E29:E32)</f>
        <v>0</v>
      </c>
      <c r="L22" s="229">
        <f>F32</f>
        <v>0</v>
      </c>
      <c r="M22" s="233">
        <f>SUM(G29:G32)</f>
        <v>0</v>
      </c>
      <c r="N22" s="232">
        <f>H32</f>
        <v>0</v>
      </c>
    </row>
    <row r="23" spans="1:14" x14ac:dyDescent="0.35">
      <c r="A23" s="391"/>
      <c r="B23" s="370"/>
      <c r="C23" s="159">
        <v>3</v>
      </c>
      <c r="D23" s="189" t="s">
        <v>139</v>
      </c>
      <c r="E23" s="249">
        <v>0</v>
      </c>
      <c r="F23" s="160">
        <f t="shared" si="1"/>
        <v>0</v>
      </c>
      <c r="G23" s="249">
        <v>0</v>
      </c>
      <c r="H23" s="231">
        <f t="shared" si="2"/>
        <v>0</v>
      </c>
      <c r="J23" s="158">
        <f t="shared" si="0"/>
        <v>5.5</v>
      </c>
      <c r="K23" s="233">
        <f>SUM(E33:E36)</f>
        <v>0</v>
      </c>
      <c r="L23" s="233">
        <f>F36</f>
        <v>0</v>
      </c>
      <c r="M23" s="233">
        <f>SUM(G33:G36)</f>
        <v>0</v>
      </c>
      <c r="N23" s="232">
        <f>H36</f>
        <v>0</v>
      </c>
    </row>
    <row r="24" spans="1:14" x14ac:dyDescent="0.35">
      <c r="A24" s="391"/>
      <c r="B24" s="371"/>
      <c r="C24" s="166">
        <v>4</v>
      </c>
      <c r="D24" s="234" t="s">
        <v>140</v>
      </c>
      <c r="E24" s="249">
        <v>0</v>
      </c>
      <c r="F24" s="167">
        <f t="shared" si="1"/>
        <v>0</v>
      </c>
      <c r="G24" s="249">
        <v>0</v>
      </c>
      <c r="H24" s="235">
        <f t="shared" si="2"/>
        <v>0</v>
      </c>
      <c r="J24" s="158">
        <f t="shared" si="0"/>
        <v>6.5</v>
      </c>
      <c r="K24" s="233">
        <f>SUM(E37:E40)</f>
        <v>0</v>
      </c>
      <c r="L24" s="233">
        <f>F40</f>
        <v>0</v>
      </c>
      <c r="M24" s="233">
        <f>SUM(G37:G40)</f>
        <v>0</v>
      </c>
      <c r="N24" s="232">
        <f>H40</f>
        <v>0</v>
      </c>
    </row>
    <row r="25" spans="1:14" x14ac:dyDescent="0.35">
      <c r="A25" s="391"/>
      <c r="B25" s="372">
        <f>B21+1</f>
        <v>2</v>
      </c>
      <c r="C25" s="236">
        <v>1</v>
      </c>
      <c r="D25" s="189" t="s">
        <v>141</v>
      </c>
      <c r="E25" s="249">
        <v>0</v>
      </c>
      <c r="F25" s="237">
        <f t="shared" si="1"/>
        <v>0</v>
      </c>
      <c r="G25" s="249">
        <v>0</v>
      </c>
      <c r="H25" s="238">
        <f t="shared" si="2"/>
        <v>0</v>
      </c>
      <c r="J25" s="158">
        <f t="shared" si="0"/>
        <v>7.5</v>
      </c>
      <c r="K25" s="233">
        <f>SUM(E41:E44)</f>
        <v>0</v>
      </c>
      <c r="L25" s="233">
        <f>F44</f>
        <v>0</v>
      </c>
      <c r="M25" s="233">
        <f>SUM(G41:G44)</f>
        <v>0</v>
      </c>
      <c r="N25" s="232">
        <f>H44</f>
        <v>0</v>
      </c>
    </row>
    <row r="26" spans="1:14" x14ac:dyDescent="0.35">
      <c r="A26" s="391"/>
      <c r="B26" s="370"/>
      <c r="C26" s="159">
        <v>2</v>
      </c>
      <c r="D26" s="189" t="s">
        <v>142</v>
      </c>
      <c r="E26" s="249">
        <v>0</v>
      </c>
      <c r="F26" s="160">
        <f t="shared" si="1"/>
        <v>0</v>
      </c>
      <c r="G26" s="249">
        <v>0</v>
      </c>
      <c r="H26" s="231">
        <f t="shared" si="2"/>
        <v>0</v>
      </c>
      <c r="J26" s="158">
        <f t="shared" si="0"/>
        <v>8.5</v>
      </c>
      <c r="K26" s="233">
        <f>SUM(E45:E48)</f>
        <v>0</v>
      </c>
      <c r="L26" s="233">
        <f>F48</f>
        <v>0</v>
      </c>
      <c r="M26" s="233">
        <f>SUM(G45:G48)</f>
        <v>0</v>
      </c>
      <c r="N26" s="232">
        <f>H48</f>
        <v>0</v>
      </c>
    </row>
    <row r="27" spans="1:14" x14ac:dyDescent="0.35">
      <c r="A27" s="391"/>
      <c r="B27" s="370"/>
      <c r="C27" s="159">
        <v>3</v>
      </c>
      <c r="D27" s="189" t="s">
        <v>143</v>
      </c>
      <c r="E27" s="249">
        <v>0</v>
      </c>
      <c r="F27" s="160">
        <f t="shared" si="1"/>
        <v>0</v>
      </c>
      <c r="G27" s="249">
        <v>0</v>
      </c>
      <c r="H27" s="231">
        <f t="shared" si="2"/>
        <v>0</v>
      </c>
      <c r="J27" s="158">
        <f t="shared" si="0"/>
        <v>9.5</v>
      </c>
      <c r="K27" s="233">
        <f>SUM(E49:E52)</f>
        <v>0</v>
      </c>
      <c r="L27" s="233">
        <f>F52</f>
        <v>0</v>
      </c>
      <c r="M27" s="233">
        <f>SUM(G49:G52)</f>
        <v>0</v>
      </c>
      <c r="N27" s="232">
        <f>H52</f>
        <v>0</v>
      </c>
    </row>
    <row r="28" spans="1:14" x14ac:dyDescent="0.35">
      <c r="A28" s="391"/>
      <c r="B28" s="371"/>
      <c r="C28" s="166">
        <v>4</v>
      </c>
      <c r="D28" s="234" t="s">
        <v>144</v>
      </c>
      <c r="E28" s="249">
        <v>0</v>
      </c>
      <c r="F28" s="167">
        <f t="shared" si="1"/>
        <v>0</v>
      </c>
      <c r="G28" s="249">
        <v>0</v>
      </c>
      <c r="H28" s="235">
        <f t="shared" si="2"/>
        <v>0</v>
      </c>
      <c r="J28" s="158">
        <f t="shared" si="0"/>
        <v>10.5</v>
      </c>
      <c r="K28" s="233">
        <f>SUM(E53:E56)</f>
        <v>0</v>
      </c>
      <c r="L28" s="233">
        <f>F56</f>
        <v>0</v>
      </c>
      <c r="M28" s="233">
        <f>SUM(G53:G56)</f>
        <v>0</v>
      </c>
      <c r="N28" s="232">
        <f>H56</f>
        <v>0</v>
      </c>
    </row>
    <row r="29" spans="1:14" x14ac:dyDescent="0.35">
      <c r="A29" s="391"/>
      <c r="B29" s="369">
        <f>B25+1</f>
        <v>3</v>
      </c>
      <c r="C29" s="236">
        <v>1</v>
      </c>
      <c r="D29" s="189" t="s">
        <v>145</v>
      </c>
      <c r="E29" s="249">
        <v>0</v>
      </c>
      <c r="F29" s="237">
        <f t="shared" si="1"/>
        <v>0</v>
      </c>
      <c r="G29" s="249">
        <v>0</v>
      </c>
      <c r="H29" s="238">
        <f t="shared" si="2"/>
        <v>0</v>
      </c>
      <c r="J29" s="158">
        <f t="shared" si="0"/>
        <v>11.5</v>
      </c>
      <c r="K29" s="233">
        <f>SUM(E57:E60)</f>
        <v>0</v>
      </c>
      <c r="L29" s="233">
        <f>F60</f>
        <v>0</v>
      </c>
      <c r="M29" s="233">
        <f>SUM(G57:G60)</f>
        <v>0</v>
      </c>
      <c r="N29" s="232">
        <f>H60</f>
        <v>0</v>
      </c>
    </row>
    <row r="30" spans="1:14" x14ac:dyDescent="0.35">
      <c r="A30" s="391"/>
      <c r="B30" s="370"/>
      <c r="C30" s="159">
        <v>2</v>
      </c>
      <c r="D30" s="189" t="s">
        <v>146</v>
      </c>
      <c r="E30" s="249">
        <v>0</v>
      </c>
      <c r="F30" s="160">
        <f t="shared" si="1"/>
        <v>0</v>
      </c>
      <c r="G30" s="249">
        <v>0</v>
      </c>
      <c r="H30" s="231">
        <f t="shared" si="2"/>
        <v>0</v>
      </c>
      <c r="J30" s="158">
        <f>J29+1</f>
        <v>12.5</v>
      </c>
      <c r="K30" s="233">
        <f>SUM(E61:E64)</f>
        <v>0</v>
      </c>
      <c r="L30" s="233">
        <f>F64</f>
        <v>0</v>
      </c>
      <c r="M30" s="233">
        <f>SUM(G61:G64)</f>
        <v>0</v>
      </c>
      <c r="N30" s="232">
        <f>H64</f>
        <v>0</v>
      </c>
    </row>
    <row r="31" spans="1:14" x14ac:dyDescent="0.35">
      <c r="A31" s="391"/>
      <c r="B31" s="370"/>
      <c r="C31" s="159">
        <v>3</v>
      </c>
      <c r="D31" s="189" t="s">
        <v>147</v>
      </c>
      <c r="E31" s="249">
        <v>0</v>
      </c>
      <c r="F31" s="160">
        <f t="shared" si="1"/>
        <v>0</v>
      </c>
      <c r="G31" s="249">
        <v>0</v>
      </c>
      <c r="H31" s="231">
        <f t="shared" si="2"/>
        <v>0</v>
      </c>
      <c r="J31" s="158">
        <f t="shared" si="0"/>
        <v>13.5</v>
      </c>
      <c r="K31" s="233">
        <f>SUM(E65:E68)</f>
        <v>0</v>
      </c>
      <c r="L31" s="233">
        <f>F68</f>
        <v>0</v>
      </c>
      <c r="M31" s="233">
        <f>SUM(G65:G68)</f>
        <v>0</v>
      </c>
      <c r="N31" s="232">
        <f>H68</f>
        <v>0</v>
      </c>
    </row>
    <row r="32" spans="1:14" x14ac:dyDescent="0.35">
      <c r="A32" s="391"/>
      <c r="B32" s="371"/>
      <c r="C32" s="166">
        <v>4</v>
      </c>
      <c r="D32" s="234" t="s">
        <v>148</v>
      </c>
      <c r="E32" s="249">
        <v>0</v>
      </c>
      <c r="F32" s="167">
        <f t="shared" si="1"/>
        <v>0</v>
      </c>
      <c r="G32" s="249">
        <v>0</v>
      </c>
      <c r="H32" s="235">
        <f t="shared" si="2"/>
        <v>0</v>
      </c>
      <c r="J32" s="158">
        <f t="shared" si="0"/>
        <v>14.5</v>
      </c>
      <c r="K32" s="233">
        <f>SUM(E69:E72)</f>
        <v>0</v>
      </c>
      <c r="L32" s="233">
        <f>F72</f>
        <v>0</v>
      </c>
      <c r="M32" s="233">
        <f>SUM(G69:G72)</f>
        <v>0</v>
      </c>
      <c r="N32" s="232">
        <f>H72</f>
        <v>0</v>
      </c>
    </row>
    <row r="33" spans="1:14" x14ac:dyDescent="0.35">
      <c r="A33" s="391"/>
      <c r="B33" s="369">
        <f t="shared" ref="B33" si="3">B29+1</f>
        <v>4</v>
      </c>
      <c r="C33" s="236">
        <v>1</v>
      </c>
      <c r="D33" s="189" t="s">
        <v>150</v>
      </c>
      <c r="E33" s="249">
        <v>0</v>
      </c>
      <c r="F33" s="237">
        <f t="shared" si="1"/>
        <v>0</v>
      </c>
      <c r="G33" s="249">
        <v>0</v>
      </c>
      <c r="H33" s="238">
        <f t="shared" si="2"/>
        <v>0</v>
      </c>
      <c r="J33" s="158">
        <f t="shared" si="0"/>
        <v>15.5</v>
      </c>
      <c r="K33" s="233">
        <f>SUM(E73:E76)</f>
        <v>0</v>
      </c>
      <c r="L33" s="233">
        <f>F76</f>
        <v>0</v>
      </c>
      <c r="M33" s="233">
        <f>SUM(G73:G76)</f>
        <v>0</v>
      </c>
      <c r="N33" s="232">
        <f>H76</f>
        <v>0</v>
      </c>
    </row>
    <row r="34" spans="1:14" ht="15" thickBot="1" x14ac:dyDescent="0.4">
      <c r="A34" s="391"/>
      <c r="B34" s="370"/>
      <c r="C34" s="159">
        <v>2</v>
      </c>
      <c r="D34" s="189" t="s">
        <v>151</v>
      </c>
      <c r="E34" s="249">
        <v>0</v>
      </c>
      <c r="F34" s="160">
        <f t="shared" si="1"/>
        <v>0</v>
      </c>
      <c r="G34" s="249">
        <v>0</v>
      </c>
      <c r="H34" s="231">
        <f t="shared" si="2"/>
        <v>0</v>
      </c>
      <c r="J34" s="239">
        <f t="shared" si="0"/>
        <v>16.5</v>
      </c>
      <c r="K34" s="240">
        <f>SUM(E77:E80)</f>
        <v>0</v>
      </c>
      <c r="L34" s="240">
        <f>F80</f>
        <v>0</v>
      </c>
      <c r="M34" s="240">
        <f>SUM(G77:G80)</f>
        <v>0</v>
      </c>
      <c r="N34" s="241">
        <f>H80</f>
        <v>0</v>
      </c>
    </row>
    <row r="35" spans="1:14" x14ac:dyDescent="0.35">
      <c r="A35" s="391"/>
      <c r="B35" s="370"/>
      <c r="C35" s="159">
        <v>3</v>
      </c>
      <c r="D35" s="189" t="s">
        <v>149</v>
      </c>
      <c r="E35" s="249">
        <v>0</v>
      </c>
      <c r="F35" s="160">
        <f t="shared" si="1"/>
        <v>0</v>
      </c>
      <c r="G35" s="249">
        <v>0</v>
      </c>
      <c r="H35" s="231">
        <f t="shared" si="2"/>
        <v>0</v>
      </c>
      <c r="K35" s="233"/>
      <c r="L35" s="233"/>
      <c r="M35" s="233"/>
      <c r="N35" s="233"/>
    </row>
    <row r="36" spans="1:14" ht="12.65" customHeight="1" x14ac:dyDescent="0.35">
      <c r="A36" s="392"/>
      <c r="B36" s="371"/>
      <c r="C36" s="166">
        <v>4</v>
      </c>
      <c r="D36" s="234" t="s">
        <v>152</v>
      </c>
      <c r="E36" s="249">
        <v>0</v>
      </c>
      <c r="F36" s="167">
        <f t="shared" si="1"/>
        <v>0</v>
      </c>
      <c r="G36" s="249">
        <v>0</v>
      </c>
      <c r="H36" s="235">
        <f t="shared" si="2"/>
        <v>0</v>
      </c>
      <c r="J36" s="300"/>
      <c r="K36" s="301" t="s">
        <v>128</v>
      </c>
      <c r="L36" s="301" t="s">
        <v>129</v>
      </c>
      <c r="M36" s="301" t="s">
        <v>130</v>
      </c>
      <c r="N36" s="302" t="s">
        <v>131</v>
      </c>
    </row>
    <row r="37" spans="1:14" x14ac:dyDescent="0.35">
      <c r="A37" s="392"/>
      <c r="B37" s="369">
        <f t="shared" ref="B37" si="4">B33+1</f>
        <v>5</v>
      </c>
      <c r="C37" s="159">
        <v>1</v>
      </c>
      <c r="D37" s="189" t="s">
        <v>153</v>
      </c>
      <c r="E37" s="249">
        <v>0</v>
      </c>
      <c r="F37" s="237">
        <f t="shared" si="1"/>
        <v>0</v>
      </c>
      <c r="G37" s="249">
        <v>0</v>
      </c>
      <c r="H37" s="238">
        <f t="shared" si="2"/>
        <v>0</v>
      </c>
      <c r="J37" s="303" t="s">
        <v>0</v>
      </c>
      <c r="K37" s="149" t="s">
        <v>283</v>
      </c>
      <c r="L37" s="151" t="s">
        <v>283</v>
      </c>
      <c r="M37" s="151" t="s">
        <v>90</v>
      </c>
      <c r="N37" s="210" t="s">
        <v>90</v>
      </c>
    </row>
    <row r="38" spans="1:14" x14ac:dyDescent="0.35">
      <c r="A38" s="392"/>
      <c r="B38" s="370"/>
      <c r="C38" s="159">
        <v>2</v>
      </c>
      <c r="D38" s="189" t="s">
        <v>154</v>
      </c>
      <c r="E38" s="249">
        <v>0</v>
      </c>
      <c r="F38" s="160">
        <f t="shared" si="1"/>
        <v>0</v>
      </c>
      <c r="G38" s="249">
        <v>0</v>
      </c>
      <c r="H38" s="231">
        <f t="shared" si="2"/>
        <v>0</v>
      </c>
      <c r="J38" s="304"/>
      <c r="K38" s="155"/>
      <c r="L38" s="155"/>
      <c r="M38" s="155"/>
      <c r="N38" s="214"/>
    </row>
    <row r="39" spans="1:14" x14ac:dyDescent="0.35">
      <c r="A39" s="392"/>
      <c r="B39" s="370"/>
      <c r="C39" s="159">
        <v>3</v>
      </c>
      <c r="D39" s="189" t="s">
        <v>155</v>
      </c>
      <c r="E39" s="249">
        <v>0</v>
      </c>
      <c r="F39" s="160">
        <f t="shared" si="1"/>
        <v>0</v>
      </c>
      <c r="G39" s="249">
        <v>0</v>
      </c>
      <c r="H39" s="231">
        <f t="shared" si="2"/>
        <v>0</v>
      </c>
      <c r="J39" s="305">
        <v>1</v>
      </c>
      <c r="K39" s="218"/>
      <c r="L39" s="218"/>
      <c r="M39" s="218"/>
      <c r="N39" s="221"/>
    </row>
    <row r="40" spans="1:14" x14ac:dyDescent="0.35">
      <c r="A40" s="392"/>
      <c r="B40" s="371"/>
      <c r="C40" s="166">
        <v>4</v>
      </c>
      <c r="D40" s="234" t="s">
        <v>156</v>
      </c>
      <c r="E40" s="249">
        <v>0</v>
      </c>
      <c r="F40" s="167">
        <f t="shared" si="1"/>
        <v>0</v>
      </c>
      <c r="G40" s="249">
        <v>0</v>
      </c>
      <c r="H40" s="235">
        <f t="shared" si="2"/>
        <v>0</v>
      </c>
      <c r="J40" s="306">
        <f>J39+1</f>
        <v>2</v>
      </c>
      <c r="K40" s="222"/>
      <c r="L40" s="223">
        <f>SUM(K41:K55)</f>
        <v>0</v>
      </c>
      <c r="M40" s="222"/>
      <c r="N40" s="228">
        <f>SUM(M41:M55)</f>
        <v>0</v>
      </c>
    </row>
    <row r="41" spans="1:14" x14ac:dyDescent="0.35">
      <c r="A41" s="392"/>
      <c r="B41" s="369">
        <f t="shared" ref="B41" si="5">B37+1</f>
        <v>6</v>
      </c>
      <c r="C41" s="236">
        <v>1</v>
      </c>
      <c r="D41" s="189" t="s">
        <v>157</v>
      </c>
      <c r="E41" s="249">
        <v>0</v>
      </c>
      <c r="F41" s="237">
        <f t="shared" si="1"/>
        <v>0</v>
      </c>
      <c r="G41" s="249">
        <v>0</v>
      </c>
      <c r="H41" s="238">
        <f t="shared" si="2"/>
        <v>0</v>
      </c>
      <c r="J41" s="305">
        <f t="shared" ref="J41:J50" si="6">J40+1</f>
        <v>3</v>
      </c>
      <c r="K41" s="229" t="b">
        <f>K20=IFERROR('F2-D Availability Payment (AP)'!I11/'F2-F Service Payment and NPV'!$I$38/'F2-B Cost Recovery Charges'!O11,0)</f>
        <v>1</v>
      </c>
      <c r="L41" s="229">
        <f>L20</f>
        <v>0</v>
      </c>
      <c r="M41" s="229" t="b">
        <f>M20='F2-D Availability Payment (AP)'!F11</f>
        <v>1</v>
      </c>
      <c r="N41" s="307">
        <f>N20</f>
        <v>0</v>
      </c>
    </row>
    <row r="42" spans="1:14" x14ac:dyDescent="0.35">
      <c r="A42" s="392"/>
      <c r="B42" s="370"/>
      <c r="C42" s="159">
        <v>2</v>
      </c>
      <c r="D42" s="189" t="s">
        <v>158</v>
      </c>
      <c r="E42" s="249">
        <v>0</v>
      </c>
      <c r="F42" s="160">
        <f t="shared" si="1"/>
        <v>0</v>
      </c>
      <c r="G42" s="249">
        <v>0</v>
      </c>
      <c r="H42" s="231">
        <f t="shared" si="2"/>
        <v>0</v>
      </c>
      <c r="J42" s="305">
        <f t="shared" si="6"/>
        <v>4</v>
      </c>
      <c r="K42" s="229" t="b">
        <f>K21=IFERROR('F2-D Availability Payment (AP)'!I12/'F2-F Service Payment and NPV'!$I$38/'F2-B Cost Recovery Charges'!O12,0)</f>
        <v>1</v>
      </c>
      <c r="L42" s="229">
        <f t="shared" ref="L42:L55" si="7">L21</f>
        <v>0</v>
      </c>
      <c r="M42" s="229" t="b">
        <f>M21='F2-D Availability Payment (AP)'!F12</f>
        <v>1</v>
      </c>
      <c r="N42" s="307">
        <f t="shared" ref="N42:N55" si="8">N21</f>
        <v>0</v>
      </c>
    </row>
    <row r="43" spans="1:14" x14ac:dyDescent="0.35">
      <c r="A43" s="392"/>
      <c r="B43" s="370"/>
      <c r="C43" s="159">
        <v>3</v>
      </c>
      <c r="D43" s="189" t="s">
        <v>159</v>
      </c>
      <c r="E43" s="249">
        <v>0</v>
      </c>
      <c r="F43" s="160">
        <f t="shared" si="1"/>
        <v>0</v>
      </c>
      <c r="G43" s="249">
        <v>0</v>
      </c>
      <c r="H43" s="231">
        <f t="shared" si="2"/>
        <v>0</v>
      </c>
      <c r="J43" s="305">
        <f t="shared" si="6"/>
        <v>5</v>
      </c>
      <c r="K43" s="229" t="b">
        <f>K22=IFERROR('F2-D Availability Payment (AP)'!I13/'F2-F Service Payment and NPV'!$I$38/'F2-B Cost Recovery Charges'!O13,0)</f>
        <v>1</v>
      </c>
      <c r="L43" s="229">
        <f t="shared" si="7"/>
        <v>0</v>
      </c>
      <c r="M43" s="229" t="b">
        <f>M22='F2-D Availability Payment (AP)'!F13</f>
        <v>1</v>
      </c>
      <c r="N43" s="307">
        <f t="shared" si="8"/>
        <v>0</v>
      </c>
    </row>
    <row r="44" spans="1:14" x14ac:dyDescent="0.35">
      <c r="A44" s="392"/>
      <c r="B44" s="371"/>
      <c r="C44" s="166">
        <v>4</v>
      </c>
      <c r="D44" s="234" t="s">
        <v>160</v>
      </c>
      <c r="E44" s="249">
        <v>0</v>
      </c>
      <c r="F44" s="167">
        <f t="shared" si="1"/>
        <v>0</v>
      </c>
      <c r="G44" s="249">
        <v>0</v>
      </c>
      <c r="H44" s="235">
        <f t="shared" si="2"/>
        <v>0</v>
      </c>
      <c r="J44" s="305">
        <f t="shared" si="6"/>
        <v>6</v>
      </c>
      <c r="K44" s="229" t="b">
        <f>K23=IFERROR('F2-D Availability Payment (AP)'!I14/'F2-F Service Payment and NPV'!$I$38/'F2-B Cost Recovery Charges'!O14,0)</f>
        <v>1</v>
      </c>
      <c r="L44" s="229">
        <f t="shared" si="7"/>
        <v>0</v>
      </c>
      <c r="M44" s="229" t="b">
        <f>M23='F2-D Availability Payment (AP)'!F14</f>
        <v>1</v>
      </c>
      <c r="N44" s="307">
        <f t="shared" si="8"/>
        <v>0</v>
      </c>
    </row>
    <row r="45" spans="1:14" x14ac:dyDescent="0.35">
      <c r="A45" s="392"/>
      <c r="B45" s="369">
        <f t="shared" ref="B45" si="9">B41+1</f>
        <v>7</v>
      </c>
      <c r="C45" s="236">
        <v>1</v>
      </c>
      <c r="D45" s="189" t="s">
        <v>161</v>
      </c>
      <c r="E45" s="249">
        <v>0</v>
      </c>
      <c r="F45" s="237">
        <f t="shared" si="1"/>
        <v>0</v>
      </c>
      <c r="G45" s="249">
        <v>0</v>
      </c>
      <c r="H45" s="238">
        <f t="shared" si="2"/>
        <v>0</v>
      </c>
      <c r="J45" s="305">
        <f t="shared" si="6"/>
        <v>7</v>
      </c>
      <c r="K45" s="229" t="b">
        <f>K24=IFERROR('F2-D Availability Payment (AP)'!I15/'F2-F Service Payment and NPV'!$I$38/'F2-B Cost Recovery Charges'!O15,0)</f>
        <v>1</v>
      </c>
      <c r="L45" s="229">
        <f t="shared" si="7"/>
        <v>0</v>
      </c>
      <c r="M45" s="229" t="b">
        <f>M24='F2-D Availability Payment (AP)'!F15</f>
        <v>1</v>
      </c>
      <c r="N45" s="307">
        <f t="shared" si="8"/>
        <v>0</v>
      </c>
    </row>
    <row r="46" spans="1:14" x14ac:dyDescent="0.35">
      <c r="A46" s="392"/>
      <c r="B46" s="370"/>
      <c r="C46" s="159">
        <v>2</v>
      </c>
      <c r="D46" s="189" t="s">
        <v>162</v>
      </c>
      <c r="E46" s="249">
        <v>0</v>
      </c>
      <c r="F46" s="160">
        <f t="shared" si="1"/>
        <v>0</v>
      </c>
      <c r="G46" s="249">
        <v>0</v>
      </c>
      <c r="H46" s="231">
        <f t="shared" si="2"/>
        <v>0</v>
      </c>
      <c r="J46" s="305">
        <f t="shared" si="6"/>
        <v>8</v>
      </c>
      <c r="K46" s="229" t="b">
        <f>K25=IFERROR('F2-D Availability Payment (AP)'!I16/'F2-F Service Payment and NPV'!$I$38/'F2-B Cost Recovery Charges'!O16,0)</f>
        <v>1</v>
      </c>
      <c r="L46" s="229">
        <f t="shared" si="7"/>
        <v>0</v>
      </c>
      <c r="M46" s="229" t="b">
        <f>M25='F2-D Availability Payment (AP)'!F16</f>
        <v>1</v>
      </c>
      <c r="N46" s="307">
        <f t="shared" si="8"/>
        <v>0</v>
      </c>
    </row>
    <row r="47" spans="1:14" x14ac:dyDescent="0.35">
      <c r="A47" s="392"/>
      <c r="B47" s="370"/>
      <c r="C47" s="159">
        <v>3</v>
      </c>
      <c r="D47" s="189" t="s">
        <v>163</v>
      </c>
      <c r="E47" s="249">
        <v>0</v>
      </c>
      <c r="F47" s="160">
        <f t="shared" si="1"/>
        <v>0</v>
      </c>
      <c r="G47" s="249">
        <v>0</v>
      </c>
      <c r="H47" s="231">
        <f t="shared" si="2"/>
        <v>0</v>
      </c>
      <c r="J47" s="305">
        <f t="shared" si="6"/>
        <v>9</v>
      </c>
      <c r="K47" s="229" t="b">
        <f>K26=IFERROR('F2-D Availability Payment (AP)'!I17/'F2-F Service Payment and NPV'!$I$38/'F2-B Cost Recovery Charges'!O17,0)</f>
        <v>1</v>
      </c>
      <c r="L47" s="229">
        <f t="shared" si="7"/>
        <v>0</v>
      </c>
      <c r="M47" s="229" t="b">
        <f>M26='F2-D Availability Payment (AP)'!F17</f>
        <v>1</v>
      </c>
      <c r="N47" s="307">
        <f t="shared" si="8"/>
        <v>0</v>
      </c>
    </row>
    <row r="48" spans="1:14" x14ac:dyDescent="0.35">
      <c r="A48" s="392"/>
      <c r="B48" s="371"/>
      <c r="C48" s="166">
        <v>4</v>
      </c>
      <c r="D48" s="234" t="s">
        <v>164</v>
      </c>
      <c r="E48" s="249">
        <v>0</v>
      </c>
      <c r="F48" s="167">
        <f t="shared" si="1"/>
        <v>0</v>
      </c>
      <c r="G48" s="249">
        <v>0</v>
      </c>
      <c r="H48" s="235">
        <f t="shared" si="2"/>
        <v>0</v>
      </c>
      <c r="J48" s="305">
        <f t="shared" si="6"/>
        <v>10</v>
      </c>
      <c r="K48" s="229" t="b">
        <f>K27=IFERROR('F2-D Availability Payment (AP)'!I18/'F2-F Service Payment and NPV'!$I$38/'F2-B Cost Recovery Charges'!O18,0)</f>
        <v>1</v>
      </c>
      <c r="L48" s="229">
        <f t="shared" si="7"/>
        <v>0</v>
      </c>
      <c r="M48" s="229" t="b">
        <f>M27='F2-D Availability Payment (AP)'!F18</f>
        <v>1</v>
      </c>
      <c r="N48" s="307">
        <f t="shared" si="8"/>
        <v>0</v>
      </c>
    </row>
    <row r="49" spans="1:14" x14ac:dyDescent="0.35">
      <c r="A49" s="392"/>
      <c r="B49" s="369">
        <f t="shared" ref="B49" si="10">B45+1</f>
        <v>8</v>
      </c>
      <c r="C49" s="236">
        <v>1</v>
      </c>
      <c r="D49" s="189" t="s">
        <v>165</v>
      </c>
      <c r="E49" s="249">
        <v>0</v>
      </c>
      <c r="F49" s="237">
        <f t="shared" si="1"/>
        <v>0</v>
      </c>
      <c r="G49" s="249">
        <v>0</v>
      </c>
      <c r="H49" s="238">
        <f t="shared" si="2"/>
        <v>0</v>
      </c>
      <c r="J49" s="305">
        <f t="shared" si="6"/>
        <v>11</v>
      </c>
      <c r="K49" s="229" t="b">
        <f>K28=IFERROR('F2-D Availability Payment (AP)'!I19/'F2-F Service Payment and NPV'!$I$38/'F2-B Cost Recovery Charges'!O19,0)</f>
        <v>1</v>
      </c>
      <c r="L49" s="229">
        <f t="shared" si="7"/>
        <v>0</v>
      </c>
      <c r="M49" s="229" t="b">
        <f>M28='F2-D Availability Payment (AP)'!F19</f>
        <v>1</v>
      </c>
      <c r="N49" s="307">
        <f t="shared" si="8"/>
        <v>0</v>
      </c>
    </row>
    <row r="50" spans="1:14" x14ac:dyDescent="0.35">
      <c r="A50" s="392"/>
      <c r="B50" s="370"/>
      <c r="C50" s="159">
        <v>2</v>
      </c>
      <c r="D50" s="189" t="s">
        <v>166</v>
      </c>
      <c r="E50" s="249">
        <v>0</v>
      </c>
      <c r="F50" s="160">
        <f t="shared" si="1"/>
        <v>0</v>
      </c>
      <c r="G50" s="249">
        <v>0</v>
      </c>
      <c r="H50" s="231">
        <f t="shared" si="2"/>
        <v>0</v>
      </c>
      <c r="J50" s="305">
        <f t="shared" si="6"/>
        <v>12</v>
      </c>
      <c r="K50" s="229" t="b">
        <f>K29=IFERROR('F2-D Availability Payment (AP)'!I20/'F2-F Service Payment and NPV'!$I$38/'F2-B Cost Recovery Charges'!O20,0)</f>
        <v>1</v>
      </c>
      <c r="L50" s="229">
        <f t="shared" si="7"/>
        <v>0</v>
      </c>
      <c r="M50" s="229" t="b">
        <f>M29='F2-D Availability Payment (AP)'!F20</f>
        <v>1</v>
      </c>
      <c r="N50" s="307">
        <f t="shared" si="8"/>
        <v>0</v>
      </c>
    </row>
    <row r="51" spans="1:14" x14ac:dyDescent="0.35">
      <c r="A51" s="392"/>
      <c r="B51" s="370"/>
      <c r="C51" s="159">
        <v>3</v>
      </c>
      <c r="D51" s="189" t="s">
        <v>167</v>
      </c>
      <c r="E51" s="249">
        <v>0</v>
      </c>
      <c r="F51" s="160">
        <f t="shared" si="1"/>
        <v>0</v>
      </c>
      <c r="G51" s="249">
        <v>0</v>
      </c>
      <c r="H51" s="231">
        <f t="shared" si="2"/>
        <v>0</v>
      </c>
      <c r="J51" s="305">
        <f>J50+1</f>
        <v>13</v>
      </c>
      <c r="K51" s="229" t="b">
        <f>K30=IFERROR('F2-D Availability Payment (AP)'!I21/'F2-F Service Payment and NPV'!$I$38/'F2-B Cost Recovery Charges'!O21,0)</f>
        <v>1</v>
      </c>
      <c r="L51" s="229">
        <f t="shared" si="7"/>
        <v>0</v>
      </c>
      <c r="M51" s="229" t="b">
        <f>M30='F2-D Availability Payment (AP)'!F21</f>
        <v>1</v>
      </c>
      <c r="N51" s="307">
        <f t="shared" si="8"/>
        <v>0</v>
      </c>
    </row>
    <row r="52" spans="1:14" x14ac:dyDescent="0.35">
      <c r="A52" s="392"/>
      <c r="B52" s="371"/>
      <c r="C52" s="166">
        <v>4</v>
      </c>
      <c r="D52" s="234" t="s">
        <v>168</v>
      </c>
      <c r="E52" s="249">
        <v>0</v>
      </c>
      <c r="F52" s="167">
        <f t="shared" si="1"/>
        <v>0</v>
      </c>
      <c r="G52" s="249">
        <v>0</v>
      </c>
      <c r="H52" s="235">
        <f t="shared" si="2"/>
        <v>0</v>
      </c>
      <c r="J52" s="305">
        <f t="shared" ref="J52:J55" si="11">J51+1</f>
        <v>14</v>
      </c>
      <c r="K52" s="229" t="b">
        <f>K31=IFERROR('F2-D Availability Payment (AP)'!I22/'F2-F Service Payment and NPV'!$I$38/'F2-B Cost Recovery Charges'!O22,0)</f>
        <v>1</v>
      </c>
      <c r="L52" s="229">
        <f t="shared" si="7"/>
        <v>0</v>
      </c>
      <c r="M52" s="229" t="b">
        <f>M31='F2-D Availability Payment (AP)'!F22</f>
        <v>1</v>
      </c>
      <c r="N52" s="307">
        <f t="shared" si="8"/>
        <v>0</v>
      </c>
    </row>
    <row r="53" spans="1:14" x14ac:dyDescent="0.35">
      <c r="A53" s="392"/>
      <c r="B53" s="369">
        <f t="shared" ref="B53" si="12">B49+1</f>
        <v>9</v>
      </c>
      <c r="C53" s="236">
        <v>1</v>
      </c>
      <c r="D53" s="189" t="s">
        <v>169</v>
      </c>
      <c r="E53" s="249">
        <v>0</v>
      </c>
      <c r="F53" s="160">
        <f t="shared" si="1"/>
        <v>0</v>
      </c>
      <c r="G53" s="249">
        <v>0</v>
      </c>
      <c r="H53" s="231">
        <f t="shared" si="2"/>
        <v>0</v>
      </c>
      <c r="J53" s="305">
        <f t="shared" si="11"/>
        <v>15</v>
      </c>
      <c r="K53" s="229" t="b">
        <f>K32=IFERROR('F2-D Availability Payment (AP)'!I23/'F2-F Service Payment and NPV'!$I$38/'F2-B Cost Recovery Charges'!O23,0)</f>
        <v>1</v>
      </c>
      <c r="L53" s="229">
        <f t="shared" si="7"/>
        <v>0</v>
      </c>
      <c r="M53" s="229" t="b">
        <f>M32='F2-D Availability Payment (AP)'!F23</f>
        <v>1</v>
      </c>
      <c r="N53" s="307">
        <f t="shared" si="8"/>
        <v>0</v>
      </c>
    </row>
    <row r="54" spans="1:14" x14ac:dyDescent="0.35">
      <c r="A54" s="392"/>
      <c r="B54" s="370"/>
      <c r="C54" s="159">
        <v>2</v>
      </c>
      <c r="D54" s="189" t="s">
        <v>170</v>
      </c>
      <c r="E54" s="249">
        <v>0</v>
      </c>
      <c r="F54" s="160">
        <f t="shared" si="1"/>
        <v>0</v>
      </c>
      <c r="G54" s="249">
        <v>0</v>
      </c>
      <c r="H54" s="231">
        <f t="shared" si="2"/>
        <v>0</v>
      </c>
      <c r="J54" s="305">
        <f t="shared" si="11"/>
        <v>16</v>
      </c>
      <c r="K54" s="229" t="b">
        <f>K33=IFERROR('F2-D Availability Payment (AP)'!I24/'F2-F Service Payment and NPV'!$I$38/'F2-B Cost Recovery Charges'!O24,0)</f>
        <v>1</v>
      </c>
      <c r="L54" s="229">
        <f t="shared" si="7"/>
        <v>0</v>
      </c>
      <c r="M54" s="229" t="b">
        <f>M33='F2-D Availability Payment (AP)'!F24</f>
        <v>1</v>
      </c>
      <c r="N54" s="307">
        <f t="shared" si="8"/>
        <v>0</v>
      </c>
    </row>
    <row r="55" spans="1:14" x14ac:dyDescent="0.35">
      <c r="A55" s="392"/>
      <c r="B55" s="370"/>
      <c r="C55" s="159">
        <v>3</v>
      </c>
      <c r="D55" s="189" t="s">
        <v>171</v>
      </c>
      <c r="E55" s="249">
        <v>0</v>
      </c>
      <c r="F55" s="160">
        <f t="shared" si="1"/>
        <v>0</v>
      </c>
      <c r="G55" s="249">
        <v>0</v>
      </c>
      <c r="H55" s="231">
        <f t="shared" si="2"/>
        <v>0</v>
      </c>
      <c r="J55" s="306">
        <f t="shared" si="11"/>
        <v>17</v>
      </c>
      <c r="K55" s="229" t="b">
        <f>K34=IFERROR('F2-D Availability Payment (AP)'!I25/'F2-F Service Payment and NPV'!$I$38/'F2-B Cost Recovery Charges'!O25,0)</f>
        <v>1</v>
      </c>
      <c r="L55" s="308">
        <f t="shared" si="7"/>
        <v>0</v>
      </c>
      <c r="M55" s="308" t="b">
        <f>M34='F2-D Availability Payment (AP)'!F25</f>
        <v>1</v>
      </c>
      <c r="N55" s="309">
        <f t="shared" si="8"/>
        <v>0</v>
      </c>
    </row>
    <row r="56" spans="1:14" x14ac:dyDescent="0.35">
      <c r="A56" s="392"/>
      <c r="B56" s="371"/>
      <c r="C56" s="166">
        <v>4</v>
      </c>
      <c r="D56" s="234" t="s">
        <v>172</v>
      </c>
      <c r="E56" s="249">
        <v>0</v>
      </c>
      <c r="F56" s="167">
        <f t="shared" si="1"/>
        <v>0</v>
      </c>
      <c r="G56" s="249">
        <v>0</v>
      </c>
      <c r="H56" s="235">
        <f t="shared" si="2"/>
        <v>0</v>
      </c>
    </row>
    <row r="57" spans="1:14" ht="15" thickBot="1" x14ac:dyDescent="0.4">
      <c r="A57" s="392"/>
      <c r="B57" s="369">
        <f t="shared" ref="B57" si="13">B53+1</f>
        <v>10</v>
      </c>
      <c r="C57" s="236">
        <v>1</v>
      </c>
      <c r="D57" s="189" t="s">
        <v>173</v>
      </c>
      <c r="E57" s="249">
        <v>0</v>
      </c>
      <c r="F57" s="237">
        <f t="shared" si="1"/>
        <v>0</v>
      </c>
      <c r="G57" s="249">
        <v>0</v>
      </c>
      <c r="H57" s="238">
        <f t="shared" si="2"/>
        <v>0</v>
      </c>
    </row>
    <row r="58" spans="1:14" ht="15" thickBot="1" x14ac:dyDescent="0.4">
      <c r="A58" s="392"/>
      <c r="B58" s="370"/>
      <c r="C58" s="159">
        <v>2</v>
      </c>
      <c r="D58" s="189" t="s">
        <v>174</v>
      </c>
      <c r="E58" s="249">
        <v>0</v>
      </c>
      <c r="F58" s="160">
        <f t="shared" si="1"/>
        <v>0</v>
      </c>
      <c r="G58" s="249">
        <v>0</v>
      </c>
      <c r="H58" s="231">
        <f t="shared" si="2"/>
        <v>0</v>
      </c>
      <c r="J58" s="380" t="s">
        <v>279</v>
      </c>
      <c r="K58" s="381"/>
      <c r="L58" s="382"/>
      <c r="M58" s="41"/>
    </row>
    <row r="59" spans="1:14" ht="24" x14ac:dyDescent="0.35">
      <c r="A59" s="392"/>
      <c r="B59" s="370"/>
      <c r="C59" s="159">
        <v>3</v>
      </c>
      <c r="D59" s="189" t="s">
        <v>175</v>
      </c>
      <c r="E59" s="249">
        <v>0</v>
      </c>
      <c r="F59" s="160">
        <f t="shared" si="1"/>
        <v>0</v>
      </c>
      <c r="G59" s="249">
        <v>0</v>
      </c>
      <c r="H59" s="231">
        <f t="shared" si="2"/>
        <v>0</v>
      </c>
      <c r="J59" s="393" t="s">
        <v>281</v>
      </c>
      <c r="K59" s="143" t="s">
        <v>277</v>
      </c>
      <c r="L59" s="144" t="s">
        <v>278</v>
      </c>
      <c r="M59" s="41"/>
    </row>
    <row r="60" spans="1:14" ht="26.15" customHeight="1" x14ac:dyDescent="0.35">
      <c r="A60" s="392"/>
      <c r="B60" s="371"/>
      <c r="C60" s="166">
        <v>4</v>
      </c>
      <c r="D60" s="234" t="s">
        <v>176</v>
      </c>
      <c r="E60" s="249">
        <v>0</v>
      </c>
      <c r="F60" s="167">
        <f t="shared" si="1"/>
        <v>0</v>
      </c>
      <c r="G60" s="249">
        <v>0</v>
      </c>
      <c r="H60" s="235">
        <f t="shared" si="2"/>
        <v>0</v>
      </c>
      <c r="J60" s="394"/>
      <c r="K60" s="149" t="s">
        <v>80</v>
      </c>
      <c r="L60" s="150" t="s">
        <v>80</v>
      </c>
      <c r="M60" s="41"/>
    </row>
    <row r="61" spans="1:14" x14ac:dyDescent="0.35">
      <c r="A61" s="392"/>
      <c r="B61" s="369">
        <f t="shared" ref="B61" si="14">B57+1</f>
        <v>11</v>
      </c>
      <c r="C61" s="236">
        <v>1</v>
      </c>
      <c r="D61" s="189" t="s">
        <v>177</v>
      </c>
      <c r="E61" s="249">
        <v>0</v>
      </c>
      <c r="F61" s="237">
        <f t="shared" si="1"/>
        <v>0</v>
      </c>
      <c r="G61" s="249">
        <v>0</v>
      </c>
      <c r="H61" s="238">
        <f t="shared" si="2"/>
        <v>0</v>
      </c>
      <c r="J61" s="154"/>
      <c r="K61" s="155"/>
      <c r="L61" s="157"/>
      <c r="M61" s="41"/>
    </row>
    <row r="62" spans="1:14" x14ac:dyDescent="0.35">
      <c r="A62" s="392"/>
      <c r="B62" s="370"/>
      <c r="C62" s="159">
        <v>2</v>
      </c>
      <c r="D62" s="189" t="s">
        <v>178</v>
      </c>
      <c r="E62" s="249">
        <v>0</v>
      </c>
      <c r="F62" s="160">
        <f t="shared" si="1"/>
        <v>0</v>
      </c>
      <c r="G62" s="249">
        <v>0</v>
      </c>
      <c r="H62" s="231">
        <f t="shared" si="2"/>
        <v>0</v>
      </c>
      <c r="J62" s="158">
        <v>1</v>
      </c>
      <c r="K62" s="243">
        <f>IFERROR('F2-D Availability Payment (AP)'!N11/'F2-D Availability Payment (AP)'!O11,0)</f>
        <v>0</v>
      </c>
      <c r="L62" s="244">
        <f>IFERROR('F2-D Availability Payment (AP)'!M11/'F2-D Availability Payment (AP)'!O11,0)</f>
        <v>0</v>
      </c>
      <c r="M62" s="41"/>
    </row>
    <row r="63" spans="1:14" x14ac:dyDescent="0.35">
      <c r="A63" s="392"/>
      <c r="B63" s="370"/>
      <c r="C63" s="159">
        <v>3</v>
      </c>
      <c r="D63" s="189" t="s">
        <v>179</v>
      </c>
      <c r="E63" s="249">
        <v>0</v>
      </c>
      <c r="F63" s="160">
        <f t="shared" si="1"/>
        <v>0</v>
      </c>
      <c r="G63" s="249">
        <v>0</v>
      </c>
      <c r="H63" s="231">
        <f t="shared" si="2"/>
        <v>0</v>
      </c>
      <c r="J63" s="158">
        <f t="shared" ref="J63:J76" si="15">J62+1</f>
        <v>2</v>
      </c>
      <c r="K63" s="243">
        <f>IFERROR('F2-D Availability Payment (AP)'!N12/'F2-D Availability Payment (AP)'!O12,0)</f>
        <v>0</v>
      </c>
      <c r="L63" s="244">
        <f>IFERROR('F2-D Availability Payment (AP)'!M12/'F2-D Availability Payment (AP)'!O12,0)</f>
        <v>0</v>
      </c>
      <c r="M63" s="41"/>
    </row>
    <row r="64" spans="1:14" x14ac:dyDescent="0.35">
      <c r="A64" s="392"/>
      <c r="B64" s="371"/>
      <c r="C64" s="166">
        <v>4</v>
      </c>
      <c r="D64" s="234" t="s">
        <v>180</v>
      </c>
      <c r="E64" s="249">
        <v>0</v>
      </c>
      <c r="F64" s="167">
        <f t="shared" si="1"/>
        <v>0</v>
      </c>
      <c r="G64" s="249">
        <v>0</v>
      </c>
      <c r="H64" s="235">
        <f t="shared" si="2"/>
        <v>0</v>
      </c>
      <c r="J64" s="158">
        <f t="shared" si="15"/>
        <v>3</v>
      </c>
      <c r="K64" s="243">
        <f>IFERROR('F2-D Availability Payment (AP)'!N13/'F2-D Availability Payment (AP)'!O13,0)</f>
        <v>0</v>
      </c>
      <c r="L64" s="244">
        <f>IFERROR('F2-D Availability Payment (AP)'!M13/'F2-D Availability Payment (AP)'!O13,0)</f>
        <v>0</v>
      </c>
      <c r="M64" s="41"/>
    </row>
    <row r="65" spans="1:13" x14ac:dyDescent="0.35">
      <c r="A65" s="392"/>
      <c r="B65" s="369">
        <f t="shared" ref="B65" si="16">B61+1</f>
        <v>12</v>
      </c>
      <c r="C65" s="236">
        <v>1</v>
      </c>
      <c r="D65" s="189" t="s">
        <v>181</v>
      </c>
      <c r="E65" s="249">
        <v>0</v>
      </c>
      <c r="F65" s="237">
        <f t="shared" si="1"/>
        <v>0</v>
      </c>
      <c r="G65" s="249">
        <v>0</v>
      </c>
      <c r="H65" s="238">
        <f t="shared" si="2"/>
        <v>0</v>
      </c>
      <c r="J65" s="158">
        <f t="shared" si="15"/>
        <v>4</v>
      </c>
      <c r="K65" s="243">
        <f>IFERROR('F2-D Availability Payment (AP)'!N14/'F2-D Availability Payment (AP)'!O14,0)</f>
        <v>0</v>
      </c>
      <c r="L65" s="244">
        <f>IFERROR('F2-D Availability Payment (AP)'!M14/'F2-D Availability Payment (AP)'!O14,0)</f>
        <v>0</v>
      </c>
      <c r="M65" s="41"/>
    </row>
    <row r="66" spans="1:13" x14ac:dyDescent="0.35">
      <c r="A66" s="392"/>
      <c r="B66" s="370"/>
      <c r="C66" s="159">
        <v>2</v>
      </c>
      <c r="D66" s="189" t="s">
        <v>182</v>
      </c>
      <c r="E66" s="249">
        <v>0</v>
      </c>
      <c r="F66" s="160">
        <f t="shared" si="1"/>
        <v>0</v>
      </c>
      <c r="G66" s="249">
        <v>0</v>
      </c>
      <c r="H66" s="231">
        <f t="shared" si="2"/>
        <v>0</v>
      </c>
      <c r="J66" s="158">
        <f t="shared" si="15"/>
        <v>5</v>
      </c>
      <c r="K66" s="243">
        <f>IFERROR('F2-D Availability Payment (AP)'!N15/'F2-D Availability Payment (AP)'!O15,0)</f>
        <v>0</v>
      </c>
      <c r="L66" s="244">
        <f>IFERROR('F2-D Availability Payment (AP)'!M15/'F2-D Availability Payment (AP)'!O15,0)</f>
        <v>0</v>
      </c>
      <c r="M66" s="41"/>
    </row>
    <row r="67" spans="1:13" x14ac:dyDescent="0.35">
      <c r="A67" s="392"/>
      <c r="B67" s="370"/>
      <c r="C67" s="159">
        <v>3</v>
      </c>
      <c r="D67" s="189" t="s">
        <v>183</v>
      </c>
      <c r="E67" s="249">
        <v>0</v>
      </c>
      <c r="F67" s="160">
        <f t="shared" si="1"/>
        <v>0</v>
      </c>
      <c r="G67" s="249">
        <v>0</v>
      </c>
      <c r="H67" s="231">
        <f t="shared" si="2"/>
        <v>0</v>
      </c>
      <c r="J67" s="158">
        <f t="shared" si="15"/>
        <v>6</v>
      </c>
      <c r="K67" s="243">
        <f>IFERROR('F2-D Availability Payment (AP)'!N16/'F2-D Availability Payment (AP)'!O16,0)</f>
        <v>0</v>
      </c>
      <c r="L67" s="244">
        <f>IFERROR('F2-D Availability Payment (AP)'!M16/'F2-D Availability Payment (AP)'!O16,0)</f>
        <v>0</v>
      </c>
      <c r="M67" s="41"/>
    </row>
    <row r="68" spans="1:13" x14ac:dyDescent="0.35">
      <c r="A68" s="392"/>
      <c r="B68" s="371"/>
      <c r="C68" s="166">
        <v>4</v>
      </c>
      <c r="D68" s="234" t="s">
        <v>184</v>
      </c>
      <c r="E68" s="249">
        <v>0</v>
      </c>
      <c r="F68" s="167">
        <f t="shared" si="1"/>
        <v>0</v>
      </c>
      <c r="G68" s="249">
        <v>0</v>
      </c>
      <c r="H68" s="235">
        <f t="shared" si="2"/>
        <v>0</v>
      </c>
      <c r="J68" s="158">
        <f t="shared" si="15"/>
        <v>7</v>
      </c>
      <c r="K68" s="243">
        <f>IFERROR('F2-D Availability Payment (AP)'!N17/'F2-D Availability Payment (AP)'!O17,0)</f>
        <v>0</v>
      </c>
      <c r="L68" s="244">
        <f>IFERROR('F2-D Availability Payment (AP)'!M17/'F2-D Availability Payment (AP)'!O17,0)</f>
        <v>0</v>
      </c>
      <c r="M68" s="41"/>
    </row>
    <row r="69" spans="1:13" x14ac:dyDescent="0.35">
      <c r="A69" s="392"/>
      <c r="B69" s="369">
        <f t="shared" ref="B69" si="17">B65+1</f>
        <v>13</v>
      </c>
      <c r="C69" s="236">
        <v>1</v>
      </c>
      <c r="D69" s="189" t="s">
        <v>185</v>
      </c>
      <c r="E69" s="249">
        <v>0</v>
      </c>
      <c r="F69" s="237">
        <f t="shared" si="1"/>
        <v>0</v>
      </c>
      <c r="G69" s="249">
        <v>0</v>
      </c>
      <c r="H69" s="238">
        <f t="shared" si="2"/>
        <v>0</v>
      </c>
      <c r="J69" s="158">
        <f t="shared" si="15"/>
        <v>8</v>
      </c>
      <c r="K69" s="243">
        <f>IFERROR('F2-D Availability Payment (AP)'!N18/'F2-D Availability Payment (AP)'!O18,0)</f>
        <v>0</v>
      </c>
      <c r="L69" s="244">
        <f>IFERROR('F2-D Availability Payment (AP)'!M18/'F2-D Availability Payment (AP)'!O18,0)</f>
        <v>0</v>
      </c>
      <c r="M69" s="41"/>
    </row>
    <row r="70" spans="1:13" x14ac:dyDescent="0.35">
      <c r="A70" s="392"/>
      <c r="B70" s="370"/>
      <c r="C70" s="159">
        <v>2</v>
      </c>
      <c r="D70" s="189" t="s">
        <v>186</v>
      </c>
      <c r="E70" s="249">
        <v>0</v>
      </c>
      <c r="F70" s="160">
        <f t="shared" si="1"/>
        <v>0</v>
      </c>
      <c r="G70" s="249">
        <v>0</v>
      </c>
      <c r="H70" s="231">
        <f t="shared" si="2"/>
        <v>0</v>
      </c>
      <c r="J70" s="158">
        <f t="shared" si="15"/>
        <v>9</v>
      </c>
      <c r="K70" s="243">
        <f>IFERROR('F2-D Availability Payment (AP)'!N19/'F2-D Availability Payment (AP)'!O19,0)</f>
        <v>0</v>
      </c>
      <c r="L70" s="244">
        <f>IFERROR('F2-D Availability Payment (AP)'!M19/'F2-D Availability Payment (AP)'!O19,0)</f>
        <v>0</v>
      </c>
      <c r="M70" s="41"/>
    </row>
    <row r="71" spans="1:13" x14ac:dyDescent="0.35">
      <c r="A71" s="392"/>
      <c r="B71" s="370"/>
      <c r="C71" s="159">
        <v>3</v>
      </c>
      <c r="D71" s="189" t="s">
        <v>187</v>
      </c>
      <c r="E71" s="249">
        <v>0</v>
      </c>
      <c r="F71" s="160">
        <f t="shared" si="1"/>
        <v>0</v>
      </c>
      <c r="G71" s="249">
        <v>0</v>
      </c>
      <c r="H71" s="231">
        <f t="shared" si="2"/>
        <v>0</v>
      </c>
      <c r="J71" s="158">
        <f t="shared" si="15"/>
        <v>10</v>
      </c>
      <c r="K71" s="243">
        <f>IFERROR('F2-D Availability Payment (AP)'!N20/'F2-D Availability Payment (AP)'!O20,0)</f>
        <v>0</v>
      </c>
      <c r="L71" s="244">
        <f>IFERROR('F2-D Availability Payment (AP)'!M20/'F2-D Availability Payment (AP)'!O20,0)</f>
        <v>0</v>
      </c>
      <c r="M71" s="41"/>
    </row>
    <row r="72" spans="1:13" x14ac:dyDescent="0.35">
      <c r="A72" s="392"/>
      <c r="B72" s="371"/>
      <c r="C72" s="166">
        <v>4</v>
      </c>
      <c r="D72" s="234" t="s">
        <v>188</v>
      </c>
      <c r="E72" s="249">
        <v>0</v>
      </c>
      <c r="F72" s="167">
        <f t="shared" si="1"/>
        <v>0</v>
      </c>
      <c r="G72" s="249">
        <v>0</v>
      </c>
      <c r="H72" s="235">
        <f t="shared" si="2"/>
        <v>0</v>
      </c>
      <c r="J72" s="158">
        <f t="shared" si="15"/>
        <v>11</v>
      </c>
      <c r="K72" s="243">
        <f>IFERROR('F2-D Availability Payment (AP)'!N21/'F2-D Availability Payment (AP)'!O21,0)</f>
        <v>0</v>
      </c>
      <c r="L72" s="244">
        <f>IFERROR('F2-D Availability Payment (AP)'!M21/'F2-D Availability Payment (AP)'!O21,0)</f>
        <v>0</v>
      </c>
      <c r="M72" s="41"/>
    </row>
    <row r="73" spans="1:13" x14ac:dyDescent="0.35">
      <c r="A73" s="392"/>
      <c r="B73" s="369">
        <f t="shared" ref="B73" si="18">B69+1</f>
        <v>14</v>
      </c>
      <c r="C73" s="236">
        <v>1</v>
      </c>
      <c r="D73" s="189" t="s">
        <v>189</v>
      </c>
      <c r="E73" s="249">
        <v>0</v>
      </c>
      <c r="F73" s="237">
        <f t="shared" si="1"/>
        <v>0</v>
      </c>
      <c r="G73" s="249">
        <v>0</v>
      </c>
      <c r="H73" s="238">
        <f t="shared" si="2"/>
        <v>0</v>
      </c>
      <c r="J73" s="158">
        <f t="shared" si="15"/>
        <v>12</v>
      </c>
      <c r="K73" s="243">
        <f>IFERROR('F2-D Availability Payment (AP)'!N22/'F2-D Availability Payment (AP)'!O22,0)</f>
        <v>0</v>
      </c>
      <c r="L73" s="244">
        <f>IFERROR('F2-D Availability Payment (AP)'!M22/'F2-D Availability Payment (AP)'!O22,0)</f>
        <v>0</v>
      </c>
      <c r="M73" s="41"/>
    </row>
    <row r="74" spans="1:13" x14ac:dyDescent="0.35">
      <c r="A74" s="392"/>
      <c r="B74" s="370"/>
      <c r="C74" s="159">
        <v>2</v>
      </c>
      <c r="D74" s="189" t="s">
        <v>190</v>
      </c>
      <c r="E74" s="249">
        <v>0</v>
      </c>
      <c r="F74" s="160">
        <f t="shared" si="1"/>
        <v>0</v>
      </c>
      <c r="G74" s="249">
        <v>0</v>
      </c>
      <c r="H74" s="231">
        <f t="shared" si="2"/>
        <v>0</v>
      </c>
      <c r="J74" s="158">
        <f t="shared" si="15"/>
        <v>13</v>
      </c>
      <c r="K74" s="243">
        <f>IFERROR('F2-D Availability Payment (AP)'!N23/'F2-D Availability Payment (AP)'!O23,0)</f>
        <v>0</v>
      </c>
      <c r="L74" s="244">
        <f>IFERROR('F2-D Availability Payment (AP)'!M23/'F2-D Availability Payment (AP)'!O23,0)</f>
        <v>0</v>
      </c>
      <c r="M74" s="41"/>
    </row>
    <row r="75" spans="1:13" x14ac:dyDescent="0.35">
      <c r="A75" s="392"/>
      <c r="B75" s="370"/>
      <c r="C75" s="159">
        <v>3</v>
      </c>
      <c r="D75" s="189" t="s">
        <v>191</v>
      </c>
      <c r="E75" s="249">
        <v>0</v>
      </c>
      <c r="F75" s="160">
        <f t="shared" si="1"/>
        <v>0</v>
      </c>
      <c r="G75" s="249">
        <v>0</v>
      </c>
      <c r="H75" s="231">
        <f t="shared" si="2"/>
        <v>0</v>
      </c>
      <c r="J75" s="158">
        <f t="shared" si="15"/>
        <v>14</v>
      </c>
      <c r="K75" s="243">
        <f>IFERROR('F2-D Availability Payment (AP)'!N24/'F2-D Availability Payment (AP)'!O24,0)</f>
        <v>0</v>
      </c>
      <c r="L75" s="244">
        <f>IFERROR('F2-D Availability Payment (AP)'!M24/'F2-D Availability Payment (AP)'!O24,0)</f>
        <v>0</v>
      </c>
      <c r="M75" s="41"/>
    </row>
    <row r="76" spans="1:13" ht="15" thickBot="1" x14ac:dyDescent="0.4">
      <c r="A76" s="392"/>
      <c r="B76" s="371"/>
      <c r="C76" s="166">
        <v>4</v>
      </c>
      <c r="D76" s="234" t="s">
        <v>192</v>
      </c>
      <c r="E76" s="249">
        <v>0</v>
      </c>
      <c r="F76" s="167">
        <f t="shared" si="1"/>
        <v>0</v>
      </c>
      <c r="G76" s="249">
        <v>0</v>
      </c>
      <c r="H76" s="235">
        <f t="shared" si="2"/>
        <v>0</v>
      </c>
      <c r="J76" s="239">
        <f t="shared" si="15"/>
        <v>15</v>
      </c>
      <c r="K76" s="245">
        <f>IFERROR('F2-D Availability Payment (AP)'!N25/'F2-D Availability Payment (AP)'!O25,0)</f>
        <v>0</v>
      </c>
      <c r="L76" s="246">
        <f>IFERROR('F2-D Availability Payment (AP)'!M25/'F2-D Availability Payment (AP)'!O25,0)</f>
        <v>0</v>
      </c>
      <c r="M76" s="41"/>
    </row>
    <row r="77" spans="1:13" x14ac:dyDescent="0.35">
      <c r="A77" s="392"/>
      <c r="B77" s="372">
        <f t="shared" ref="B77" si="19">B73+1</f>
        <v>15</v>
      </c>
      <c r="C77" s="159">
        <v>1</v>
      </c>
      <c r="D77" s="189" t="s">
        <v>193</v>
      </c>
      <c r="E77" s="249">
        <v>0</v>
      </c>
      <c r="F77" s="160">
        <f t="shared" si="1"/>
        <v>0</v>
      </c>
      <c r="G77" s="249">
        <v>0</v>
      </c>
      <c r="H77" s="231">
        <f t="shared" si="2"/>
        <v>0</v>
      </c>
    </row>
    <row r="78" spans="1:13" x14ac:dyDescent="0.35">
      <c r="A78" s="392"/>
      <c r="B78" s="370"/>
      <c r="C78" s="159">
        <v>2</v>
      </c>
      <c r="D78" s="189" t="s">
        <v>194</v>
      </c>
      <c r="E78" s="249">
        <v>0</v>
      </c>
      <c r="F78" s="160">
        <f t="shared" si="1"/>
        <v>0</v>
      </c>
      <c r="G78" s="249">
        <v>0</v>
      </c>
      <c r="H78" s="231">
        <f t="shared" si="2"/>
        <v>0</v>
      </c>
    </row>
    <row r="79" spans="1:13" x14ac:dyDescent="0.35">
      <c r="A79" s="392"/>
      <c r="B79" s="370"/>
      <c r="C79" s="159">
        <v>3</v>
      </c>
      <c r="D79" s="189" t="s">
        <v>195</v>
      </c>
      <c r="E79" s="249">
        <v>0</v>
      </c>
      <c r="F79" s="160">
        <f t="shared" si="1"/>
        <v>0</v>
      </c>
      <c r="G79" s="249">
        <v>0</v>
      </c>
      <c r="H79" s="231">
        <f t="shared" si="2"/>
        <v>0</v>
      </c>
    </row>
    <row r="80" spans="1:13" x14ac:dyDescent="0.35">
      <c r="A80" s="392"/>
      <c r="B80" s="371"/>
      <c r="C80" s="166">
        <v>4</v>
      </c>
      <c r="D80" s="234" t="s">
        <v>196</v>
      </c>
      <c r="E80" s="250">
        <v>0</v>
      </c>
      <c r="F80" s="167">
        <f t="shared" si="1"/>
        <v>0</v>
      </c>
      <c r="G80" s="250">
        <v>0</v>
      </c>
      <c r="H80" s="235">
        <f t="shared" si="2"/>
        <v>0</v>
      </c>
    </row>
    <row r="81" spans="2:4" x14ac:dyDescent="0.35">
      <c r="B81" s="378"/>
      <c r="C81" s="159"/>
    </row>
    <row r="82" spans="2:4" x14ac:dyDescent="0.35">
      <c r="B82" s="379"/>
      <c r="C82" s="159"/>
    </row>
    <row r="83" spans="2:4" x14ac:dyDescent="0.35">
      <c r="B83" s="379"/>
      <c r="C83" s="100" t="s">
        <v>133</v>
      </c>
    </row>
    <row r="84" spans="2:4" x14ac:dyDescent="0.35">
      <c r="B84" s="379"/>
      <c r="C84" s="100" t="s">
        <v>257</v>
      </c>
    </row>
    <row r="85" spans="2:4" x14ac:dyDescent="0.35">
      <c r="C85" s="100" t="s">
        <v>258</v>
      </c>
    </row>
    <row r="86" spans="2:4" ht="15" thickBot="1" x14ac:dyDescent="0.4"/>
    <row r="87" spans="2:4" ht="15" thickBot="1" x14ac:dyDescent="0.4">
      <c r="C87" s="74"/>
      <c r="D87" s="100" t="s">
        <v>9</v>
      </c>
    </row>
    <row r="88" spans="2:4" ht="15" thickBot="1" x14ac:dyDescent="0.4">
      <c r="C88" s="75"/>
      <c r="D88" s="100" t="s">
        <v>19</v>
      </c>
    </row>
    <row r="89" spans="2:4" ht="15" thickBot="1" x14ac:dyDescent="0.4">
      <c r="C89" s="76"/>
      <c r="D89" s="100" t="s">
        <v>10</v>
      </c>
    </row>
  </sheetData>
  <sheetProtection algorithmName="SHA-512" hashValue="4oN2xKHJLCHL0jRGXjPIOOyh5ZAbgikbRF+WssPe+IWrEp2/xGTjl0ZA/aLZtIABRkdOTFnsJ04zRjh1ZhRn6g==" saltValue="1iB7DnkfUtHjZzFRhmkhnw==" spinCount="100000" sheet="1" objects="1" scenarios="1"/>
  <mergeCells count="26">
    <mergeCell ref="J58:L58"/>
    <mergeCell ref="B14:H14"/>
    <mergeCell ref="A18:A19"/>
    <mergeCell ref="B15:B16"/>
    <mergeCell ref="C15:C16"/>
    <mergeCell ref="A21:A80"/>
    <mergeCell ref="B73:B76"/>
    <mergeCell ref="B77:B80"/>
    <mergeCell ref="J59:J60"/>
    <mergeCell ref="B81:B84"/>
    <mergeCell ref="B37:B40"/>
    <mergeCell ref="B41:B44"/>
    <mergeCell ref="B45:B48"/>
    <mergeCell ref="B49:B52"/>
    <mergeCell ref="B53:B56"/>
    <mergeCell ref="B57:B60"/>
    <mergeCell ref="B3:H3"/>
    <mergeCell ref="B61:B64"/>
    <mergeCell ref="B65:B68"/>
    <mergeCell ref="B69:B72"/>
    <mergeCell ref="B21:B24"/>
    <mergeCell ref="B25:B28"/>
    <mergeCell ref="B29:B32"/>
    <mergeCell ref="B33:B36"/>
    <mergeCell ref="E6:E12"/>
    <mergeCell ref="D15:D16"/>
  </mergeCells>
  <conditionalFormatting sqref="K41:N55">
    <cfRule type="containsText" dxfId="8" priority="1" operator="containsText" text="FALSE">
      <formula>NOT(ISERROR(SEARCH("FALSE",K41)))</formula>
    </cfRule>
    <cfRule type="containsText" dxfId="7" priority="2" operator="containsText" text="TRUE">
      <formula>NOT(ISERROR(SEARCH("TRUE",K41)))</formula>
    </cfRule>
    <cfRule type="cellIs" dxfId="6" priority="3" operator="equal">
      <formula>"""TRUE"""</formula>
    </cfRule>
  </conditionalFormatting>
  <pageMargins left="0.7" right="0.7" top="0.75" bottom="0.75" header="0.3" footer="0.3"/>
  <pageSetup orientation="portrait" r:id="rId1"/>
  <ignoredErrors>
    <ignoredError sqref="L20:L34 M41:M55" formula="1"/>
    <ignoredError sqref="K20:K34" formulaRange="1"/>
    <ignoredError sqref="M20:M34"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9C954-0084-4408-8C4A-8387C3711B89}">
  <dimension ref="B3:R111"/>
  <sheetViews>
    <sheetView showGridLines="0" zoomScale="70" zoomScaleNormal="70" workbookViewId="0">
      <selection activeCell="C83" sqref="C83"/>
    </sheetView>
  </sheetViews>
  <sheetFormatPr defaultRowHeight="14.5" x14ac:dyDescent="0.35"/>
  <cols>
    <col min="1" max="1" width="8.7265625" style="42"/>
    <col min="2" max="2" width="61" style="42" customWidth="1"/>
    <col min="3" max="3" width="16.1796875" style="42" bestFit="1" customWidth="1"/>
    <col min="4" max="4" width="11.7265625" style="42" bestFit="1" customWidth="1"/>
    <col min="5" max="5" width="8.7265625" style="42"/>
    <col min="6" max="6" width="8.7265625" style="42" customWidth="1"/>
    <col min="7" max="10" width="15.1796875" style="42" bestFit="1" customWidth="1"/>
    <col min="11" max="11" width="14.81640625" style="42" bestFit="1" customWidth="1"/>
    <col min="12" max="12" width="14.453125" style="42" bestFit="1" customWidth="1"/>
    <col min="13" max="15" width="15.1796875" style="42" bestFit="1" customWidth="1"/>
    <col min="16" max="17" width="15.453125" style="42" bestFit="1" customWidth="1"/>
    <col min="18" max="18" width="14.81640625" style="42" bestFit="1" customWidth="1"/>
    <col min="19" max="16384" width="8.7265625" style="42"/>
  </cols>
  <sheetData>
    <row r="3" spans="2:11" ht="17.5" x14ac:dyDescent="0.35">
      <c r="E3" s="359" t="s">
        <v>209</v>
      </c>
      <c r="F3" s="359"/>
      <c r="G3" s="359"/>
      <c r="H3" s="359"/>
      <c r="I3" s="359"/>
      <c r="J3" s="359"/>
      <c r="K3" s="359"/>
    </row>
    <row r="5" spans="2:11" x14ac:dyDescent="0.35">
      <c r="B5" s="251" t="s">
        <v>288</v>
      </c>
    </row>
    <row r="6" spans="2:11" ht="15" thickBot="1" x14ac:dyDescent="0.4"/>
    <row r="7" spans="2:11" ht="15" thickBot="1" x14ac:dyDescent="0.4">
      <c r="B7" s="252" t="s">
        <v>210</v>
      </c>
      <c r="C7" s="253" t="s">
        <v>90</v>
      </c>
      <c r="E7" s="74"/>
      <c r="F7" s="40" t="s">
        <v>9</v>
      </c>
    </row>
    <row r="8" spans="2:11" ht="15" thickBot="1" x14ac:dyDescent="0.4">
      <c r="B8" s="254" t="s">
        <v>252</v>
      </c>
      <c r="C8" s="290">
        <v>0</v>
      </c>
      <c r="E8" s="75"/>
      <c r="F8" s="40" t="s">
        <v>19</v>
      </c>
    </row>
    <row r="9" spans="2:11" ht="15" thickBot="1" x14ac:dyDescent="0.4">
      <c r="B9" s="254" t="s">
        <v>232</v>
      </c>
      <c r="C9" s="290">
        <v>0</v>
      </c>
      <c r="E9" s="255"/>
      <c r="F9" s="40" t="s">
        <v>10</v>
      </c>
    </row>
    <row r="10" spans="2:11" x14ac:dyDescent="0.35">
      <c r="B10" s="254" t="s">
        <v>233</v>
      </c>
      <c r="C10" s="290">
        <v>0</v>
      </c>
      <c r="E10" s="188"/>
      <c r="F10" s="40"/>
    </row>
    <row r="11" spans="2:11" x14ac:dyDescent="0.35">
      <c r="B11" s="254" t="s">
        <v>253</v>
      </c>
      <c r="C11" s="290"/>
      <c r="E11" s="188"/>
      <c r="F11" s="40"/>
    </row>
    <row r="12" spans="2:11" x14ac:dyDescent="0.35">
      <c r="B12" s="254" t="s">
        <v>211</v>
      </c>
      <c r="C12" s="290">
        <v>0</v>
      </c>
      <c r="E12" s="256"/>
    </row>
    <row r="13" spans="2:11" x14ac:dyDescent="0.35">
      <c r="B13" s="254" t="s">
        <v>214</v>
      </c>
      <c r="C13" s="290">
        <v>0</v>
      </c>
    </row>
    <row r="14" spans="2:11" x14ac:dyDescent="0.35">
      <c r="B14" s="254" t="s">
        <v>212</v>
      </c>
      <c r="C14" s="290">
        <v>0</v>
      </c>
    </row>
    <row r="15" spans="2:11" x14ac:dyDescent="0.35">
      <c r="B15" s="254" t="s">
        <v>213</v>
      </c>
      <c r="C15" s="290">
        <v>0</v>
      </c>
    </row>
    <row r="16" spans="2:11" x14ac:dyDescent="0.35">
      <c r="B16" s="257"/>
      <c r="C16" s="258"/>
    </row>
    <row r="17" spans="2:3" x14ac:dyDescent="0.35">
      <c r="B17" s="259" t="s">
        <v>28</v>
      </c>
      <c r="C17" s="260">
        <f>SUM(C8:C15)</f>
        <v>0</v>
      </c>
    </row>
    <row r="18" spans="2:3" x14ac:dyDescent="0.35">
      <c r="B18" s="257"/>
      <c r="C18" s="258"/>
    </row>
    <row r="19" spans="2:3" x14ac:dyDescent="0.35">
      <c r="B19" s="261" t="s">
        <v>215</v>
      </c>
      <c r="C19" s="262" t="s">
        <v>90</v>
      </c>
    </row>
    <row r="20" spans="2:3" x14ac:dyDescent="0.35">
      <c r="B20" s="254" t="s">
        <v>284</v>
      </c>
      <c r="C20" s="290">
        <v>0</v>
      </c>
    </row>
    <row r="21" spans="2:3" x14ac:dyDescent="0.35">
      <c r="B21" s="254" t="s">
        <v>285</v>
      </c>
      <c r="C21" s="290">
        <v>0</v>
      </c>
    </row>
    <row r="22" spans="2:3" x14ac:dyDescent="0.35">
      <c r="B22" s="254" t="s">
        <v>217</v>
      </c>
      <c r="C22" s="290">
        <v>0</v>
      </c>
    </row>
    <row r="23" spans="2:3" x14ac:dyDescent="0.35">
      <c r="B23" s="254" t="s">
        <v>218</v>
      </c>
      <c r="C23" s="290">
        <v>0</v>
      </c>
    </row>
    <row r="24" spans="2:3" x14ac:dyDescent="0.35">
      <c r="B24" s="254" t="s">
        <v>254</v>
      </c>
      <c r="C24" s="290">
        <v>0</v>
      </c>
    </row>
    <row r="25" spans="2:3" x14ac:dyDescent="0.35">
      <c r="B25" s="257"/>
      <c r="C25" s="258"/>
    </row>
    <row r="26" spans="2:3" ht="15" thickBot="1" x14ac:dyDescent="0.4">
      <c r="B26" s="263" t="s">
        <v>28</v>
      </c>
      <c r="C26" s="264">
        <f>SUM(C20:C24)</f>
        <v>0</v>
      </c>
    </row>
    <row r="27" spans="2:3" ht="15" thickBot="1" x14ac:dyDescent="0.4">
      <c r="B27" s="263" t="s">
        <v>287</v>
      </c>
      <c r="C27" s="264">
        <f>C22+C23</f>
        <v>0</v>
      </c>
    </row>
    <row r="28" spans="2:3" x14ac:dyDescent="0.35">
      <c r="B28" s="265"/>
      <c r="C28" s="266"/>
    </row>
    <row r="29" spans="2:3" x14ac:dyDescent="0.35">
      <c r="B29" s="395" t="s">
        <v>264</v>
      </c>
      <c r="C29" s="323"/>
    </row>
    <row r="30" spans="2:3" ht="42.65" customHeight="1" x14ac:dyDescent="0.35">
      <c r="B30" s="395" t="s">
        <v>263</v>
      </c>
      <c r="C30" s="323"/>
    </row>
    <row r="31" spans="2:3" ht="29.5" customHeight="1" x14ac:dyDescent="0.35">
      <c r="B31" s="395" t="s">
        <v>262</v>
      </c>
      <c r="C31" s="323"/>
    </row>
    <row r="32" spans="2:3" ht="35.5" customHeight="1" x14ac:dyDescent="0.35">
      <c r="B32" s="395" t="s">
        <v>286</v>
      </c>
      <c r="C32" s="323"/>
    </row>
    <row r="34" spans="2:3" x14ac:dyDescent="0.35">
      <c r="B34" s="251" t="s">
        <v>289</v>
      </c>
    </row>
    <row r="35" spans="2:3" ht="15" thickBot="1" x14ac:dyDescent="0.4"/>
    <row r="36" spans="2:3" x14ac:dyDescent="0.35">
      <c r="B36" s="252" t="s">
        <v>202</v>
      </c>
      <c r="C36" s="253" t="s">
        <v>90</v>
      </c>
    </row>
    <row r="37" spans="2:3" x14ac:dyDescent="0.35">
      <c r="B37" s="254" t="s">
        <v>221</v>
      </c>
      <c r="C37" s="290">
        <v>0</v>
      </c>
    </row>
    <row r="38" spans="2:3" x14ac:dyDescent="0.35">
      <c r="B38" s="254" t="s">
        <v>222</v>
      </c>
      <c r="C38" s="290">
        <v>0</v>
      </c>
    </row>
    <row r="39" spans="2:3" x14ac:dyDescent="0.35">
      <c r="B39" s="254" t="s">
        <v>223</v>
      </c>
      <c r="C39" s="290">
        <v>0</v>
      </c>
    </row>
    <row r="40" spans="2:3" x14ac:dyDescent="0.35">
      <c r="B40" s="254" t="s">
        <v>224</v>
      </c>
      <c r="C40" s="290">
        <v>0</v>
      </c>
    </row>
    <row r="41" spans="2:3" x14ac:dyDescent="0.35">
      <c r="B41" s="254" t="s">
        <v>225</v>
      </c>
      <c r="C41" s="290">
        <v>0</v>
      </c>
    </row>
    <row r="42" spans="2:3" x14ac:dyDescent="0.35">
      <c r="B42" s="254" t="s">
        <v>226</v>
      </c>
      <c r="C42" s="290">
        <v>0</v>
      </c>
    </row>
    <row r="43" spans="2:3" x14ac:dyDescent="0.35">
      <c r="B43" s="254" t="s">
        <v>227</v>
      </c>
      <c r="C43" s="290">
        <v>0</v>
      </c>
    </row>
    <row r="44" spans="2:3" x14ac:dyDescent="0.35">
      <c r="B44" s="254" t="s">
        <v>228</v>
      </c>
      <c r="C44" s="290">
        <v>0</v>
      </c>
    </row>
    <row r="45" spans="2:3" x14ac:dyDescent="0.35">
      <c r="B45" s="254" t="s">
        <v>230</v>
      </c>
      <c r="C45" s="290">
        <v>0</v>
      </c>
    </row>
    <row r="46" spans="2:3" x14ac:dyDescent="0.35">
      <c r="B46" s="254" t="s">
        <v>229</v>
      </c>
      <c r="C46" s="290">
        <v>0</v>
      </c>
    </row>
    <row r="47" spans="2:3" x14ac:dyDescent="0.35">
      <c r="B47" s="257"/>
      <c r="C47" s="258"/>
    </row>
    <row r="48" spans="2:3" x14ac:dyDescent="0.35">
      <c r="B48" s="267" t="s">
        <v>231</v>
      </c>
      <c r="C48" s="268">
        <f>SUM(C37:C46)</f>
        <v>0</v>
      </c>
    </row>
    <row r="49" spans="2:3" x14ac:dyDescent="0.35">
      <c r="B49" s="257"/>
      <c r="C49" s="258"/>
    </row>
    <row r="50" spans="2:3" x14ac:dyDescent="0.35">
      <c r="B50" s="269" t="s">
        <v>265</v>
      </c>
      <c r="C50" s="290">
        <v>0</v>
      </c>
    </row>
    <row r="51" spans="2:3" x14ac:dyDescent="0.35">
      <c r="B51" s="269" t="s">
        <v>266</v>
      </c>
      <c r="C51" s="290">
        <v>0</v>
      </c>
    </row>
    <row r="52" spans="2:3" x14ac:dyDescent="0.35">
      <c r="B52" s="269" t="s">
        <v>234</v>
      </c>
      <c r="C52" s="290">
        <v>0</v>
      </c>
    </row>
    <row r="53" spans="2:3" x14ac:dyDescent="0.35">
      <c r="B53" s="257"/>
      <c r="C53" s="291"/>
    </row>
    <row r="54" spans="2:3" x14ac:dyDescent="0.35">
      <c r="B54" s="267" t="s">
        <v>235</v>
      </c>
      <c r="C54" s="268">
        <f>SUM(C48:C52)</f>
        <v>0</v>
      </c>
    </row>
    <row r="55" spans="2:3" x14ac:dyDescent="0.35">
      <c r="B55" s="257"/>
      <c r="C55" s="258"/>
    </row>
    <row r="56" spans="2:3" x14ac:dyDescent="0.35">
      <c r="B56" s="254" t="s">
        <v>268</v>
      </c>
      <c r="C56" s="292">
        <v>0</v>
      </c>
    </row>
    <row r="57" spans="2:3" x14ac:dyDescent="0.35">
      <c r="B57" s="254" t="s">
        <v>269</v>
      </c>
      <c r="C57" s="292">
        <v>0</v>
      </c>
    </row>
    <row r="58" spans="2:3" x14ac:dyDescent="0.35">
      <c r="B58" s="254" t="s">
        <v>253</v>
      </c>
      <c r="C58" s="292">
        <v>0</v>
      </c>
    </row>
    <row r="59" spans="2:3" x14ac:dyDescent="0.35">
      <c r="B59" s="254" t="s">
        <v>211</v>
      </c>
      <c r="C59" s="292">
        <v>0</v>
      </c>
    </row>
    <row r="60" spans="2:3" x14ac:dyDescent="0.35">
      <c r="B60" s="254" t="s">
        <v>214</v>
      </c>
      <c r="C60" s="292">
        <v>0</v>
      </c>
    </row>
    <row r="61" spans="2:3" x14ac:dyDescent="0.35">
      <c r="B61" s="254" t="s">
        <v>212</v>
      </c>
      <c r="C61" s="292">
        <v>0</v>
      </c>
    </row>
    <row r="62" spans="2:3" x14ac:dyDescent="0.35">
      <c r="B62" s="254" t="s">
        <v>213</v>
      </c>
      <c r="C62" s="292">
        <v>0</v>
      </c>
    </row>
    <row r="63" spans="2:3" x14ac:dyDescent="0.35">
      <c r="B63" s="254"/>
      <c r="C63" s="258"/>
    </row>
    <row r="64" spans="2:3" ht="15" thickBot="1" x14ac:dyDescent="0.4">
      <c r="B64" s="270" t="s">
        <v>267</v>
      </c>
      <c r="C64" s="271">
        <f>SUM(C56:C62)+C54</f>
        <v>0</v>
      </c>
    </row>
    <row r="65" spans="2:18" x14ac:dyDescent="0.35">
      <c r="B65" s="272"/>
    </row>
    <row r="66" spans="2:18" x14ac:dyDescent="0.35">
      <c r="B66" s="251" t="s">
        <v>290</v>
      </c>
    </row>
    <row r="67" spans="2:18" ht="15" thickBot="1" x14ac:dyDescent="0.4"/>
    <row r="68" spans="2:18" x14ac:dyDescent="0.35">
      <c r="B68" s="252" t="s">
        <v>202</v>
      </c>
      <c r="C68" s="253" t="s">
        <v>80</v>
      </c>
    </row>
    <row r="69" spans="2:18" x14ac:dyDescent="0.35">
      <c r="B69" s="269" t="s">
        <v>236</v>
      </c>
      <c r="C69" s="273">
        <f>IFERROR(C22/(C22+C23),0)</f>
        <v>0</v>
      </c>
    </row>
    <row r="70" spans="2:18" ht="15" thickBot="1" x14ac:dyDescent="0.4">
      <c r="B70" s="274" t="s">
        <v>237</v>
      </c>
      <c r="C70" s="275">
        <f>IFERROR(C23/(C22+C23),0)</f>
        <v>0</v>
      </c>
    </row>
    <row r="71" spans="2:18" x14ac:dyDescent="0.35">
      <c r="C71" s="39"/>
    </row>
    <row r="72" spans="2:18" x14ac:dyDescent="0.35">
      <c r="B72" s="276" t="s">
        <v>291</v>
      </c>
      <c r="C72" s="39"/>
      <c r="D72" s="39"/>
      <c r="E72" s="39"/>
      <c r="F72" s="39"/>
      <c r="G72" s="39"/>
      <c r="H72" s="39"/>
      <c r="I72" s="39"/>
      <c r="J72" s="39"/>
      <c r="K72" s="39"/>
      <c r="L72" s="39"/>
      <c r="M72" s="39"/>
      <c r="N72" s="39"/>
      <c r="O72" s="39"/>
      <c r="P72" s="39"/>
      <c r="Q72" s="39"/>
      <c r="R72" s="39"/>
    </row>
    <row r="73" spans="2:18" x14ac:dyDescent="0.35">
      <c r="B73" s="39"/>
      <c r="C73" s="39"/>
      <c r="D73" s="39"/>
      <c r="E73" s="39"/>
      <c r="F73" s="39"/>
      <c r="G73" s="39"/>
      <c r="H73" s="39"/>
      <c r="I73" s="39"/>
      <c r="J73" s="39"/>
      <c r="K73" s="39"/>
      <c r="L73" s="39"/>
      <c r="M73" s="39"/>
      <c r="N73" s="39"/>
      <c r="O73" s="39"/>
      <c r="P73" s="39"/>
      <c r="Q73" s="39"/>
      <c r="R73" s="39"/>
    </row>
    <row r="74" spans="2:18" x14ac:dyDescent="0.35">
      <c r="B74" s="311" t="s">
        <v>239</v>
      </c>
      <c r="C74" s="312">
        <v>0</v>
      </c>
      <c r="D74" s="312">
        <f>C74+1</f>
        <v>1</v>
      </c>
      <c r="E74" s="312">
        <f t="shared" ref="E74:R74" si="0">D74+1</f>
        <v>2</v>
      </c>
      <c r="F74" s="312">
        <f t="shared" si="0"/>
        <v>3</v>
      </c>
      <c r="G74" s="312">
        <f t="shared" si="0"/>
        <v>4</v>
      </c>
      <c r="H74" s="312">
        <f t="shared" si="0"/>
        <v>5</v>
      </c>
      <c r="I74" s="312">
        <f t="shared" si="0"/>
        <v>6</v>
      </c>
      <c r="J74" s="312">
        <f t="shared" si="0"/>
        <v>7</v>
      </c>
      <c r="K74" s="312">
        <f t="shared" si="0"/>
        <v>8</v>
      </c>
      <c r="L74" s="312">
        <f t="shared" si="0"/>
        <v>9</v>
      </c>
      <c r="M74" s="312">
        <f>L74+1</f>
        <v>10</v>
      </c>
      <c r="N74" s="312">
        <f t="shared" si="0"/>
        <v>11</v>
      </c>
      <c r="O74" s="312">
        <f t="shared" si="0"/>
        <v>12</v>
      </c>
      <c r="P74" s="312">
        <f t="shared" si="0"/>
        <v>13</v>
      </c>
      <c r="Q74" s="312">
        <f t="shared" si="0"/>
        <v>14</v>
      </c>
      <c r="R74" s="313">
        <f t="shared" si="0"/>
        <v>15</v>
      </c>
    </row>
    <row r="75" spans="2:18" x14ac:dyDescent="0.35">
      <c r="B75" s="314" t="s">
        <v>238</v>
      </c>
      <c r="C75" s="277">
        <f>'F2-F Service Payment and NPV'!J11+'F2-F Service Payment and NPV'!J12</f>
        <v>2514660283.303422</v>
      </c>
      <c r="D75" s="277">
        <f>'F2-F Service Payment and NPV'!J13</f>
        <v>0</v>
      </c>
      <c r="E75" s="277">
        <f>'F2-F Service Payment and NPV'!J14</f>
        <v>0</v>
      </c>
      <c r="F75" s="277">
        <f>'F2-F Service Payment and NPV'!J15</f>
        <v>0</v>
      </c>
      <c r="G75" s="277">
        <f>'F2-F Service Payment and NPV'!J16</f>
        <v>0</v>
      </c>
      <c r="H75" s="277">
        <f>'F2-F Service Payment and NPV'!J17</f>
        <v>0</v>
      </c>
      <c r="I75" s="277">
        <f>'F2-F Service Payment and NPV'!J18</f>
        <v>0</v>
      </c>
      <c r="J75" s="277">
        <f>'F2-F Service Payment and NPV'!J19</f>
        <v>0</v>
      </c>
      <c r="K75" s="277">
        <f>'F2-F Service Payment and NPV'!J20</f>
        <v>0</v>
      </c>
      <c r="L75" s="277">
        <f>'F2-F Service Payment and NPV'!J21</f>
        <v>0</v>
      </c>
      <c r="M75" s="277">
        <f>'F2-F Service Payment and NPV'!J22</f>
        <v>0</v>
      </c>
      <c r="N75" s="277">
        <f>'F2-F Service Payment and NPV'!J23</f>
        <v>0</v>
      </c>
      <c r="O75" s="277">
        <f>'F2-F Service Payment and NPV'!J24</f>
        <v>0</v>
      </c>
      <c r="P75" s="277">
        <f>'F2-F Service Payment and NPV'!J25</f>
        <v>0</v>
      </c>
      <c r="Q75" s="277">
        <f>'F2-F Service Payment and NPV'!J26</f>
        <v>0</v>
      </c>
      <c r="R75" s="315">
        <f>'F2-F Service Payment and NPV'!J27</f>
        <v>0</v>
      </c>
    </row>
    <row r="76" spans="2:18" x14ac:dyDescent="0.35">
      <c r="B76" s="314"/>
      <c r="C76" s="277"/>
      <c r="D76" s="277"/>
      <c r="E76" s="277"/>
      <c r="F76" s="277"/>
      <c r="G76" s="277"/>
      <c r="H76" s="277"/>
      <c r="I76" s="277"/>
      <c r="J76" s="277"/>
      <c r="K76" s="277"/>
      <c r="L76" s="277"/>
      <c r="M76" s="277"/>
      <c r="N76" s="277"/>
      <c r="O76" s="277"/>
      <c r="P76" s="277"/>
      <c r="Q76" s="277"/>
      <c r="R76" s="315"/>
    </row>
    <row r="77" spans="2:18" x14ac:dyDescent="0.35">
      <c r="B77" s="314" t="s">
        <v>240</v>
      </c>
      <c r="C77" s="277"/>
      <c r="D77" s="277"/>
      <c r="E77" s="277"/>
      <c r="F77" s="277"/>
      <c r="G77" s="277"/>
      <c r="H77" s="277"/>
      <c r="I77" s="277"/>
      <c r="J77" s="277"/>
      <c r="K77" s="277"/>
      <c r="L77" s="277"/>
      <c r="M77" s="277"/>
      <c r="N77" s="277"/>
      <c r="O77" s="277"/>
      <c r="P77" s="277"/>
      <c r="Q77" s="277"/>
      <c r="R77" s="315"/>
    </row>
    <row r="78" spans="2:18" x14ac:dyDescent="0.35">
      <c r="B78" s="314" t="s">
        <v>241</v>
      </c>
      <c r="C78" s="293">
        <v>0</v>
      </c>
      <c r="D78" s="293">
        <v>0</v>
      </c>
      <c r="E78" s="293">
        <v>0</v>
      </c>
      <c r="F78" s="293">
        <v>0</v>
      </c>
      <c r="G78" s="293">
        <v>0</v>
      </c>
      <c r="H78" s="293">
        <v>0</v>
      </c>
      <c r="I78" s="293">
        <v>0</v>
      </c>
      <c r="J78" s="293">
        <v>0</v>
      </c>
      <c r="K78" s="293">
        <v>0</v>
      </c>
      <c r="L78" s="293">
        <v>0</v>
      </c>
      <c r="M78" s="293">
        <v>0</v>
      </c>
      <c r="N78" s="293">
        <v>0</v>
      </c>
      <c r="O78" s="293">
        <v>0</v>
      </c>
      <c r="P78" s="293">
        <v>0</v>
      </c>
      <c r="Q78" s="293">
        <v>0</v>
      </c>
      <c r="R78" s="316">
        <v>0</v>
      </c>
    </row>
    <row r="79" spans="2:18" x14ac:dyDescent="0.35">
      <c r="B79" s="314" t="s">
        <v>242</v>
      </c>
      <c r="C79" s="293">
        <v>0</v>
      </c>
      <c r="D79" s="293">
        <v>0</v>
      </c>
      <c r="E79" s="293">
        <v>0</v>
      </c>
      <c r="F79" s="293">
        <v>0</v>
      </c>
      <c r="G79" s="293">
        <v>0</v>
      </c>
      <c r="H79" s="293">
        <v>0</v>
      </c>
      <c r="I79" s="293">
        <v>0</v>
      </c>
      <c r="J79" s="293">
        <v>0</v>
      </c>
      <c r="K79" s="293">
        <v>0</v>
      </c>
      <c r="L79" s="293">
        <v>0</v>
      </c>
      <c r="M79" s="293">
        <v>0</v>
      </c>
      <c r="N79" s="293">
        <v>0</v>
      </c>
      <c r="O79" s="293">
        <v>0</v>
      </c>
      <c r="P79" s="293">
        <v>0</v>
      </c>
      <c r="Q79" s="293">
        <v>0</v>
      </c>
      <c r="R79" s="316">
        <v>0</v>
      </c>
    </row>
    <row r="80" spans="2:18" x14ac:dyDescent="0.35">
      <c r="B80" s="314" t="s">
        <v>243</v>
      </c>
      <c r="C80" s="293">
        <v>0</v>
      </c>
      <c r="D80" s="293">
        <v>0</v>
      </c>
      <c r="E80" s="293">
        <v>0</v>
      </c>
      <c r="F80" s="293">
        <v>0</v>
      </c>
      <c r="G80" s="293">
        <v>0</v>
      </c>
      <c r="H80" s="293">
        <v>0</v>
      </c>
      <c r="I80" s="293">
        <v>0</v>
      </c>
      <c r="J80" s="293">
        <v>0</v>
      </c>
      <c r="K80" s="293">
        <v>0</v>
      </c>
      <c r="L80" s="293">
        <v>0</v>
      </c>
      <c r="M80" s="293">
        <v>0</v>
      </c>
      <c r="N80" s="293">
        <v>0</v>
      </c>
      <c r="O80" s="293">
        <v>0</v>
      </c>
      <c r="P80" s="293">
        <v>0</v>
      </c>
      <c r="Q80" s="293">
        <v>0</v>
      </c>
      <c r="R80" s="316">
        <v>0</v>
      </c>
    </row>
    <row r="81" spans="2:18" x14ac:dyDescent="0.35">
      <c r="B81" s="314" t="s">
        <v>245</v>
      </c>
      <c r="C81" s="277">
        <f>'F2-D Availability Payment (AP)'!H10+'F2-D Availability Payment (AP)'!H9</f>
        <v>0</v>
      </c>
      <c r="D81" s="277">
        <f>'F2-D Availability Payment (AP)'!H11</f>
        <v>0</v>
      </c>
      <c r="E81" s="277">
        <f>'F2-D Availability Payment (AP)'!H12</f>
        <v>0</v>
      </c>
      <c r="F81" s="277">
        <f>'F2-D Availability Payment (AP)'!H13</f>
        <v>0</v>
      </c>
      <c r="G81" s="277">
        <f>'F2-D Availability Payment (AP)'!H14</f>
        <v>0</v>
      </c>
      <c r="H81" s="277">
        <f>'F2-D Availability Payment (AP)'!H15</f>
        <v>0</v>
      </c>
      <c r="I81" s="277">
        <f>'F2-D Availability Payment (AP)'!H16</f>
        <v>0</v>
      </c>
      <c r="J81" s="277">
        <f>'F2-D Availability Payment (AP)'!H17</f>
        <v>0</v>
      </c>
      <c r="K81" s="277">
        <f>'F2-D Availability Payment (AP)'!H18</f>
        <v>0</v>
      </c>
      <c r="L81" s="277">
        <f>'F2-D Availability Payment (AP)'!H19</f>
        <v>0</v>
      </c>
      <c r="M81" s="277">
        <f>'F2-D Availability Payment (AP)'!H20</f>
        <v>0</v>
      </c>
      <c r="N81" s="277">
        <f>'F2-D Availability Payment (AP)'!H21</f>
        <v>0</v>
      </c>
      <c r="O81" s="277">
        <f>'F2-D Availability Payment (AP)'!H22</f>
        <v>0</v>
      </c>
      <c r="P81" s="277">
        <f>'F2-D Availability Payment (AP)'!H23</f>
        <v>0</v>
      </c>
      <c r="Q81" s="277">
        <f>'F2-D Availability Payment (AP)'!H24</f>
        <v>0</v>
      </c>
      <c r="R81" s="315">
        <f>'F2-D Availability Payment (AP)'!H25</f>
        <v>0</v>
      </c>
    </row>
    <row r="82" spans="2:18" x14ac:dyDescent="0.35">
      <c r="B82" s="314" t="s">
        <v>246</v>
      </c>
      <c r="C82" s="277">
        <f>'F2-D Availability Payment (AP)'!K9+'F2-D Availability Payment (AP)'!K10</f>
        <v>0</v>
      </c>
      <c r="D82" s="277">
        <f>'F2-D Availability Payment (AP)'!K11</f>
        <v>0</v>
      </c>
      <c r="E82" s="277">
        <f>'F2-D Availability Payment (AP)'!K12</f>
        <v>0</v>
      </c>
      <c r="F82" s="277">
        <f>'F2-D Availability Payment (AP)'!K13</f>
        <v>0</v>
      </c>
      <c r="G82" s="277">
        <f>'F2-D Availability Payment (AP)'!K14</f>
        <v>0</v>
      </c>
      <c r="H82" s="277">
        <f>'F2-D Availability Payment (AP)'!K15</f>
        <v>0</v>
      </c>
      <c r="I82" s="277">
        <f>'F2-D Availability Payment (AP)'!K16</f>
        <v>0</v>
      </c>
      <c r="J82" s="277">
        <f>'F2-D Availability Payment (AP)'!K17</f>
        <v>0</v>
      </c>
      <c r="K82" s="277">
        <f>'F2-D Availability Payment (AP)'!K18</f>
        <v>0</v>
      </c>
      <c r="L82" s="277">
        <f>'F2-D Availability Payment (AP)'!K19</f>
        <v>0</v>
      </c>
      <c r="M82" s="277">
        <f>'F2-D Availability Payment (AP)'!K20</f>
        <v>0</v>
      </c>
      <c r="N82" s="277">
        <f>'F2-D Availability Payment (AP)'!K21</f>
        <v>0</v>
      </c>
      <c r="O82" s="277">
        <f>'F2-D Availability Payment (AP)'!K22</f>
        <v>0</v>
      </c>
      <c r="P82" s="277">
        <f>'F2-D Availability Payment (AP)'!K23</f>
        <v>0</v>
      </c>
      <c r="Q82" s="277">
        <f>'F2-D Availability Payment (AP)'!K24</f>
        <v>0</v>
      </c>
      <c r="R82" s="315">
        <f>'F2-D Availability Payment (AP)'!K25</f>
        <v>0</v>
      </c>
    </row>
    <row r="83" spans="2:18" x14ac:dyDescent="0.35">
      <c r="B83" s="314"/>
      <c r="C83" s="277"/>
      <c r="D83" s="277"/>
      <c r="E83" s="277"/>
      <c r="F83" s="277"/>
      <c r="G83" s="277"/>
      <c r="H83" s="277"/>
      <c r="I83" s="277"/>
      <c r="J83" s="277"/>
      <c r="K83" s="277"/>
      <c r="L83" s="277"/>
      <c r="M83" s="277"/>
      <c r="N83" s="277"/>
      <c r="O83" s="277"/>
      <c r="P83" s="277"/>
      <c r="Q83" s="277"/>
      <c r="R83" s="315"/>
    </row>
    <row r="84" spans="2:18" x14ac:dyDescent="0.35">
      <c r="B84" s="317" t="s">
        <v>244</v>
      </c>
      <c r="C84" s="280">
        <f>'F2-D Availability Payment (AP)'!O9+'F2-D Availability Payment (AP)'!O10</f>
        <v>0</v>
      </c>
      <c r="D84" s="280">
        <f>'F2-D Availability Payment (AP)'!O11</f>
        <v>0</v>
      </c>
      <c r="E84" s="280">
        <f>'F2-D Availability Payment (AP)'!O12</f>
        <v>0</v>
      </c>
      <c r="F84" s="280">
        <f>'F2-D Availability Payment (AP)'!O13</f>
        <v>0</v>
      </c>
      <c r="G84" s="280">
        <f>'F2-D Availability Payment (AP)'!O14</f>
        <v>0</v>
      </c>
      <c r="H84" s="280">
        <f>'F2-D Availability Payment (AP)'!O15</f>
        <v>0</v>
      </c>
      <c r="I84" s="280">
        <f>'F2-D Availability Payment (AP)'!O16</f>
        <v>0</v>
      </c>
      <c r="J84" s="280">
        <f>'F2-D Availability Payment (AP)'!O17</f>
        <v>0</v>
      </c>
      <c r="K84" s="280">
        <f>'F2-D Availability Payment (AP)'!O18</f>
        <v>0</v>
      </c>
      <c r="L84" s="280">
        <f>'F2-D Availability Payment (AP)'!O19</f>
        <v>0</v>
      </c>
      <c r="M84" s="280">
        <f>'F2-D Availability Payment (AP)'!O20</f>
        <v>0</v>
      </c>
      <c r="N84" s="280">
        <f>'F2-D Availability Payment (AP)'!O21</f>
        <v>0</v>
      </c>
      <c r="O84" s="280">
        <f>'F2-D Availability Payment (AP)'!O22</f>
        <v>0</v>
      </c>
      <c r="P84" s="280">
        <f>'F2-D Availability Payment (AP)'!O23</f>
        <v>0</v>
      </c>
      <c r="Q84" s="280">
        <f>'F2-D Availability Payment (AP)'!O24</f>
        <v>0</v>
      </c>
      <c r="R84" s="318">
        <f>'F2-D Availability Payment (AP)'!O25</f>
        <v>0</v>
      </c>
    </row>
    <row r="85" spans="2:18" x14ac:dyDescent="0.35">
      <c r="B85" s="319"/>
      <c r="C85" s="39"/>
      <c r="D85" s="39"/>
      <c r="E85" s="39"/>
      <c r="F85" s="39"/>
      <c r="G85" s="39"/>
      <c r="H85" s="39"/>
      <c r="I85" s="39"/>
      <c r="J85" s="39"/>
      <c r="K85" s="39"/>
      <c r="L85" s="39"/>
      <c r="M85" s="39"/>
      <c r="N85" s="39"/>
      <c r="O85" s="39"/>
      <c r="P85" s="39"/>
      <c r="Q85" s="39"/>
      <c r="R85" s="320"/>
    </row>
    <row r="86" spans="2:18" x14ac:dyDescent="0.35">
      <c r="B86" s="321" t="s">
        <v>247</v>
      </c>
      <c r="C86" s="308" t="b">
        <f>C84=C75-SUM(C78:C82)</f>
        <v>0</v>
      </c>
      <c r="D86" s="308" t="b">
        <f t="shared" ref="D86:R86" si="1">D84=D75-SUM(D78:D82)</f>
        <v>1</v>
      </c>
      <c r="E86" s="308" t="b">
        <f t="shared" si="1"/>
        <v>1</v>
      </c>
      <c r="F86" s="308" t="b">
        <f t="shared" si="1"/>
        <v>1</v>
      </c>
      <c r="G86" s="308" t="b">
        <f t="shared" si="1"/>
        <v>1</v>
      </c>
      <c r="H86" s="308" t="b">
        <f t="shared" si="1"/>
        <v>1</v>
      </c>
      <c r="I86" s="308" t="b">
        <f t="shared" si="1"/>
        <v>1</v>
      </c>
      <c r="J86" s="308" t="b">
        <f t="shared" si="1"/>
        <v>1</v>
      </c>
      <c r="K86" s="308" t="b">
        <f t="shared" si="1"/>
        <v>1</v>
      </c>
      <c r="L86" s="308" t="b">
        <f t="shared" si="1"/>
        <v>1</v>
      </c>
      <c r="M86" s="308" t="b">
        <f t="shared" si="1"/>
        <v>1</v>
      </c>
      <c r="N86" s="308" t="b">
        <f t="shared" si="1"/>
        <v>1</v>
      </c>
      <c r="O86" s="308" t="b">
        <f t="shared" si="1"/>
        <v>1</v>
      </c>
      <c r="P86" s="308" t="b">
        <f t="shared" si="1"/>
        <v>1</v>
      </c>
      <c r="Q86" s="308" t="b">
        <f t="shared" si="1"/>
        <v>1</v>
      </c>
      <c r="R86" s="309" t="b">
        <f t="shared" si="1"/>
        <v>1</v>
      </c>
    </row>
    <row r="88" spans="2:18" x14ac:dyDescent="0.35">
      <c r="B88" s="276" t="s">
        <v>292</v>
      </c>
      <c r="C88" s="39"/>
      <c r="D88" s="39"/>
      <c r="E88" s="39"/>
      <c r="F88" s="39"/>
      <c r="G88" s="39"/>
      <c r="H88" s="39"/>
      <c r="I88" s="39"/>
      <c r="J88" s="39"/>
      <c r="K88" s="39"/>
      <c r="L88" s="39"/>
      <c r="M88" s="39"/>
      <c r="N88" s="39"/>
      <c r="O88" s="39"/>
      <c r="P88" s="39"/>
      <c r="Q88" s="39"/>
      <c r="R88" s="39"/>
    </row>
    <row r="89" spans="2:18" ht="15" thickBot="1" x14ac:dyDescent="0.4">
      <c r="B89" s="39"/>
      <c r="C89" s="39"/>
      <c r="D89" s="39"/>
      <c r="E89" s="39"/>
      <c r="F89" s="39"/>
      <c r="G89" s="39"/>
      <c r="H89" s="39"/>
      <c r="I89" s="39"/>
      <c r="J89" s="39"/>
      <c r="K89" s="39"/>
      <c r="L89" s="39"/>
      <c r="M89" s="39"/>
      <c r="N89" s="39"/>
      <c r="O89" s="39"/>
      <c r="P89" s="39"/>
      <c r="Q89" s="39"/>
      <c r="R89" s="39"/>
    </row>
    <row r="90" spans="2:18" x14ac:dyDescent="0.35">
      <c r="B90" s="281" t="s">
        <v>248</v>
      </c>
      <c r="C90" s="282">
        <v>0</v>
      </c>
      <c r="D90" s="282">
        <f>'F2-D Availability Payment (AP)'!M11</f>
        <v>0</v>
      </c>
      <c r="E90" s="282">
        <f>'F2-D Availability Payment (AP)'!M12</f>
        <v>0</v>
      </c>
      <c r="F90" s="282">
        <f>'F2-D Availability Payment (AP)'!M13</f>
        <v>0</v>
      </c>
      <c r="G90" s="282">
        <f>'F2-D Availability Payment (AP)'!M14</f>
        <v>0</v>
      </c>
      <c r="H90" s="282">
        <f>'F2-D Availability Payment (AP)'!M15</f>
        <v>0</v>
      </c>
      <c r="I90" s="282">
        <f>'F2-D Availability Payment (AP)'!M16</f>
        <v>0</v>
      </c>
      <c r="J90" s="282">
        <f>'F2-D Availability Payment (AP)'!M17</f>
        <v>0</v>
      </c>
      <c r="K90" s="282">
        <f>'F2-D Availability Payment (AP)'!M18</f>
        <v>0</v>
      </c>
      <c r="L90" s="282">
        <f>'F2-D Availability Payment (AP)'!M19</f>
        <v>0</v>
      </c>
      <c r="M90" s="282">
        <f>'F2-D Availability Payment (AP)'!M20</f>
        <v>0</v>
      </c>
      <c r="N90" s="282">
        <f>'F2-D Availability Payment (AP)'!M21</f>
        <v>0</v>
      </c>
      <c r="O90" s="282">
        <f>'F2-D Availability Payment (AP)'!M22</f>
        <v>0</v>
      </c>
      <c r="P90" s="282">
        <f>'F2-D Availability Payment (AP)'!M23</f>
        <v>0</v>
      </c>
      <c r="Q90" s="282">
        <f>'F2-D Availability Payment (AP)'!M24</f>
        <v>0</v>
      </c>
      <c r="R90" s="283">
        <f>'F2-D Availability Payment (AP)'!M25</f>
        <v>0</v>
      </c>
    </row>
    <row r="91" spans="2:18" x14ac:dyDescent="0.35">
      <c r="B91" s="254" t="s">
        <v>249</v>
      </c>
      <c r="C91" s="277">
        <v>0</v>
      </c>
      <c r="D91" s="277">
        <f>'F2-D Availability Payment (AP)'!N11</f>
        <v>0</v>
      </c>
      <c r="E91" s="277">
        <f>'F2-D Availability Payment (AP)'!N12</f>
        <v>0</v>
      </c>
      <c r="F91" s="277">
        <f>'F2-D Availability Payment (AP)'!N13</f>
        <v>0</v>
      </c>
      <c r="G91" s="277">
        <f>'F2-D Availability Payment (AP)'!N14</f>
        <v>0</v>
      </c>
      <c r="H91" s="277">
        <f>'F2-D Availability Payment (AP)'!N15</f>
        <v>0</v>
      </c>
      <c r="I91" s="277">
        <f>'F2-D Availability Payment (AP)'!N16</f>
        <v>0</v>
      </c>
      <c r="J91" s="277">
        <f>'F2-D Availability Payment (AP)'!N17</f>
        <v>0</v>
      </c>
      <c r="K91" s="277">
        <f>'F2-D Availability Payment (AP)'!N18</f>
        <v>0</v>
      </c>
      <c r="L91" s="277">
        <f>'F2-D Availability Payment (AP)'!N19</f>
        <v>0</v>
      </c>
      <c r="M91" s="277">
        <f>'F2-D Availability Payment (AP)'!N20</f>
        <v>0</v>
      </c>
      <c r="N91" s="277">
        <f>'F2-D Availability Payment (AP)'!N21</f>
        <v>0</v>
      </c>
      <c r="O91" s="277">
        <f>'F2-D Availability Payment (AP)'!N22</f>
        <v>0</v>
      </c>
      <c r="P91" s="277">
        <f>'F2-D Availability Payment (AP)'!N23</f>
        <v>0</v>
      </c>
      <c r="Q91" s="277">
        <f>'F2-D Availability Payment (AP)'!N24</f>
        <v>0</v>
      </c>
      <c r="R91" s="278">
        <f>'F2-D Availability Payment (AP)'!N25</f>
        <v>0</v>
      </c>
    </row>
    <row r="92" spans="2:18" x14ac:dyDescent="0.35">
      <c r="B92" s="254"/>
      <c r="C92" s="39"/>
      <c r="D92" s="39"/>
      <c r="E92" s="39"/>
      <c r="F92" s="39"/>
      <c r="G92" s="39"/>
      <c r="H92" s="39"/>
      <c r="I92" s="39"/>
      <c r="J92" s="39"/>
      <c r="K92" s="39"/>
      <c r="L92" s="39"/>
      <c r="M92" s="39"/>
      <c r="N92" s="39"/>
      <c r="O92" s="39"/>
      <c r="P92" s="39"/>
      <c r="Q92" s="39"/>
      <c r="R92" s="258"/>
    </row>
    <row r="93" spans="2:18" x14ac:dyDescent="0.35">
      <c r="B93" s="279" t="s">
        <v>250</v>
      </c>
      <c r="C93" s="280">
        <f>NPV('F2-G Termination Payments'!D12,C90:R90)</f>
        <v>0</v>
      </c>
      <c r="D93" s="229"/>
      <c r="E93" s="39"/>
      <c r="F93" s="39"/>
      <c r="G93" s="39"/>
      <c r="H93" s="39"/>
      <c r="I93" s="39"/>
      <c r="J93" s="39"/>
      <c r="K93" s="39"/>
      <c r="L93" s="39"/>
      <c r="M93" s="39"/>
      <c r="N93" s="39"/>
      <c r="O93" s="39"/>
      <c r="P93" s="39"/>
      <c r="Q93" s="39"/>
      <c r="R93" s="258"/>
    </row>
    <row r="94" spans="2:18" ht="15" thickBot="1" x14ac:dyDescent="0.4">
      <c r="B94" s="178" t="s">
        <v>251</v>
      </c>
      <c r="C94" s="284">
        <f>NPV('F2-G Termination Payments'!D11,C91:R91)</f>
        <v>0</v>
      </c>
      <c r="D94" s="242"/>
      <c r="E94" s="285"/>
      <c r="F94" s="285"/>
      <c r="G94" s="285"/>
      <c r="H94" s="285"/>
      <c r="I94" s="285"/>
      <c r="J94" s="285"/>
      <c r="K94" s="285"/>
      <c r="L94" s="285"/>
      <c r="M94" s="285"/>
      <c r="N94" s="285"/>
      <c r="O94" s="285"/>
      <c r="P94" s="285"/>
      <c r="Q94" s="285"/>
      <c r="R94" s="286"/>
    </row>
    <row r="96" spans="2:18" x14ac:dyDescent="0.35">
      <c r="B96" s="276" t="s">
        <v>293</v>
      </c>
    </row>
    <row r="97" spans="2:4" ht="15" thickBot="1" x14ac:dyDescent="0.4"/>
    <row r="98" spans="2:4" x14ac:dyDescent="0.35">
      <c r="B98" s="252" t="s">
        <v>202</v>
      </c>
      <c r="C98" s="287" t="s">
        <v>270</v>
      </c>
      <c r="D98" s="288" t="s">
        <v>271</v>
      </c>
    </row>
    <row r="99" spans="2:4" x14ac:dyDescent="0.35">
      <c r="B99" s="294"/>
      <c r="C99" s="295"/>
      <c r="D99" s="296"/>
    </row>
    <row r="100" spans="2:4" x14ac:dyDescent="0.35">
      <c r="B100" s="294"/>
      <c r="C100" s="295"/>
      <c r="D100" s="296"/>
    </row>
    <row r="101" spans="2:4" x14ac:dyDescent="0.35">
      <c r="B101" s="294"/>
      <c r="C101" s="295"/>
      <c r="D101" s="296"/>
    </row>
    <row r="102" spans="2:4" x14ac:dyDescent="0.35">
      <c r="B102" s="294"/>
      <c r="C102" s="295"/>
      <c r="D102" s="296"/>
    </row>
    <row r="103" spans="2:4" x14ac:dyDescent="0.35">
      <c r="B103" s="294"/>
      <c r="C103" s="295"/>
      <c r="D103" s="296"/>
    </row>
    <row r="104" spans="2:4" x14ac:dyDescent="0.35">
      <c r="B104" s="294"/>
      <c r="C104" s="295"/>
      <c r="D104" s="296"/>
    </row>
    <row r="105" spans="2:4" x14ac:dyDescent="0.35">
      <c r="B105" s="294"/>
      <c r="C105" s="295"/>
      <c r="D105" s="296"/>
    </row>
    <row r="106" spans="2:4" x14ac:dyDescent="0.35">
      <c r="B106" s="294"/>
      <c r="C106" s="295"/>
      <c r="D106" s="296"/>
    </row>
    <row r="107" spans="2:4" x14ac:dyDescent="0.35">
      <c r="B107" s="294"/>
      <c r="C107" s="295"/>
      <c r="D107" s="296"/>
    </row>
    <row r="108" spans="2:4" x14ac:dyDescent="0.35">
      <c r="B108" s="294"/>
      <c r="C108" s="295"/>
      <c r="D108" s="296"/>
    </row>
    <row r="109" spans="2:4" ht="15" thickBot="1" x14ac:dyDescent="0.4">
      <c r="B109" s="297"/>
      <c r="C109" s="298"/>
      <c r="D109" s="299"/>
    </row>
    <row r="111" spans="2:4" ht="14.5" customHeight="1" x14ac:dyDescent="0.35">
      <c r="B111" s="289" t="s">
        <v>272</v>
      </c>
    </row>
  </sheetData>
  <sheetProtection algorithmName="SHA-512" hashValue="se9xWcZ0ChcvJjmEPU56+iFdOaIYzXN4fe2/5cXUDEC990yjRYzELQXf6IOMm7t4Vp7B2vtekRbKnMPxomvVeQ==" saltValue="N+TwunIBwXArJ/airqq5JA==" spinCount="100000" sheet="1" objects="1" scenarios="1"/>
  <mergeCells count="5">
    <mergeCell ref="E3:K3"/>
    <mergeCell ref="B30:C30"/>
    <mergeCell ref="B31:C31"/>
    <mergeCell ref="B29:C29"/>
    <mergeCell ref="B32:C32"/>
  </mergeCells>
  <conditionalFormatting sqref="C86:R86">
    <cfRule type="containsText" dxfId="5" priority="4" operator="containsText" text="FALSE">
      <formula>NOT(ISERROR(SEARCH("FALSE",C86)))</formula>
    </cfRule>
    <cfRule type="containsText" dxfId="4" priority="5" operator="containsText" text="TRUE">
      <formula>NOT(ISERROR(SEARCH("TRUE",C86)))</formula>
    </cfRule>
    <cfRule type="cellIs" dxfId="3" priority="6" operator="equal">
      <formula>"""TRUE"""</formula>
    </cfRule>
  </conditionalFormatting>
  <conditionalFormatting sqref="D93:D94">
    <cfRule type="containsText" dxfId="2" priority="1" operator="containsText" text="FALSE">
      <formula>NOT(ISERROR(SEARCH("FALSE",D93)))</formula>
    </cfRule>
    <cfRule type="containsText" dxfId="1" priority="2" operator="containsText" text="TRUE">
      <formula>NOT(ISERROR(SEARCH("TRUE",D93)))</formula>
    </cfRule>
    <cfRule type="cellIs" dxfId="0" priority="3" operator="equal">
      <formula>"""TRUE"""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F2-A Projected Available NWO</vt:lpstr>
      <vt:lpstr>F2-B Cost Recovery Charges</vt:lpstr>
      <vt:lpstr>F2-C Electricity </vt:lpstr>
      <vt:lpstr>F2-D Availability Payment (AP)</vt:lpstr>
      <vt:lpstr>F2-E Output Payment (OP)</vt:lpstr>
      <vt:lpstr>F2-F Service Payment and NPV</vt:lpstr>
      <vt:lpstr>F2-G Termination Payments</vt:lpstr>
      <vt:lpstr>F2-I Sources &amp; Uses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Farhan Tariq</dc:creator>
  <cp:lastModifiedBy>Muhammad Bhatti</cp:lastModifiedBy>
  <dcterms:created xsi:type="dcterms:W3CDTF">2021-03-24T08:44:46Z</dcterms:created>
  <dcterms:modified xsi:type="dcterms:W3CDTF">2023-10-04T09:03:54Z</dcterms:modified>
</cp:coreProperties>
</file>